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200" windowHeight="7620"/>
  </bookViews>
  <sheets>
    <sheet name="Instructions" sheetId="4" r:id="rId1"/>
    <sheet name="Main" sheetId="1" r:id="rId2"/>
    <sheet name="Data" sheetId="2" state="hidden" r:id="rId3"/>
    <sheet name="Formulas" sheetId="3" r:id="rId4"/>
  </sheets>
  <definedNames>
    <definedName name="a">Main!$E$4</definedName>
    <definedName name="b">Main!$E$5</definedName>
    <definedName name="cc">Main!$E$6</definedName>
    <definedName name="d">Main!$E$7</definedName>
    <definedName name="domega">Data!$C$2</definedName>
    <definedName name="dpin">Main!#REF!</definedName>
    <definedName name="Fx">Formulas!$Z$21</definedName>
    <definedName name="Fy">Formulas!$Z$20</definedName>
    <definedName name="mu">Main!#REF!</definedName>
    <definedName name="omegafinish">Formulas!$AF$3</definedName>
    <definedName name="omegainc">Data!$C$1</definedName>
    <definedName name="omegastart">Formulas!$L$3</definedName>
    <definedName name="rise">Main!$E$11</definedName>
    <definedName name="rr">Main!$E$9</definedName>
    <definedName name="s">Main!$E$10</definedName>
    <definedName name="weight">Main!$E$14</definedName>
    <definedName name="Ymax">Formulas!$AB$29</definedName>
  </definedNames>
  <calcPr calcId="125725"/>
</workbook>
</file>

<file path=xl/calcChain.xml><?xml version="1.0" encoding="utf-8"?>
<calcChain xmlns="http://schemas.openxmlformats.org/spreadsheetml/2006/main">
  <c r="D33" i="1"/>
  <c r="C8"/>
  <c r="Z16" i="3"/>
  <c r="Z17"/>
  <c r="N20"/>
  <c r="L20"/>
  <c r="AF3"/>
  <c r="L3"/>
  <c r="C4" i="2" s="1"/>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S5"/>
  <c r="T5" s="1"/>
  <c r="AT5"/>
  <c r="AU5" s="1"/>
  <c r="S6"/>
  <c r="T6" s="1"/>
  <c r="AT6"/>
  <c r="S7"/>
  <c r="T7"/>
  <c r="AT7"/>
  <c r="AU7"/>
  <c r="S8"/>
  <c r="T8"/>
  <c r="AT8"/>
  <c r="AU8"/>
  <c r="S87"/>
  <c r="T87"/>
  <c r="S29"/>
  <c r="T29"/>
  <c r="S79"/>
  <c r="T79"/>
  <c r="S4"/>
  <c r="T4"/>
  <c r="AT104"/>
  <c r="AU104"/>
  <c r="AT102"/>
  <c r="AU102"/>
  <c r="S101"/>
  <c r="T101"/>
  <c r="AT98"/>
  <c r="AU98"/>
  <c r="S98"/>
  <c r="T98"/>
  <c r="S95"/>
  <c r="T95"/>
  <c r="S94"/>
  <c r="T94"/>
  <c r="AT91"/>
  <c r="AU91"/>
  <c r="S90"/>
  <c r="T90"/>
  <c r="AT87"/>
  <c r="AU87"/>
  <c r="S84"/>
  <c r="T84"/>
  <c r="AT83"/>
  <c r="AU83"/>
  <c r="S81"/>
  <c r="T81"/>
  <c r="AT78"/>
  <c r="AU78"/>
  <c r="S76"/>
  <c r="T76"/>
  <c r="S75"/>
  <c r="T75"/>
  <c r="AT72"/>
  <c r="AU72"/>
  <c r="S72"/>
  <c r="T72"/>
  <c r="S69"/>
  <c r="T69"/>
  <c r="S68"/>
  <c r="S67"/>
  <c r="T67" s="1"/>
  <c r="S65"/>
  <c r="T65" s="1"/>
  <c r="AT64"/>
  <c r="AU64" s="1"/>
  <c r="S64"/>
  <c r="T64" s="1"/>
  <c r="S62"/>
  <c r="T62" s="1"/>
  <c r="S61"/>
  <c r="T61" s="1"/>
  <c r="AT60"/>
  <c r="AU60" s="1"/>
  <c r="S59"/>
  <c r="T59" s="1"/>
  <c r="AT58"/>
  <c r="AU58" s="1"/>
  <c r="S58"/>
  <c r="T58" s="1"/>
  <c r="AT56"/>
  <c r="AU56" s="1"/>
  <c r="S56"/>
  <c r="T56" s="1"/>
  <c r="S55"/>
  <c r="T55" s="1"/>
  <c r="S53"/>
  <c r="T53" s="1"/>
  <c r="S52"/>
  <c r="T52" s="1"/>
  <c r="AT51"/>
  <c r="AU51" s="1"/>
  <c r="S50"/>
  <c r="T50" s="1"/>
  <c r="AT49"/>
  <c r="AU49" s="1"/>
  <c r="S49"/>
  <c r="T49" s="1"/>
  <c r="AT47"/>
  <c r="AU47" s="1"/>
  <c r="S47"/>
  <c r="T47" s="1"/>
  <c r="S46"/>
  <c r="T46" s="1"/>
  <c r="S45"/>
  <c r="T45" s="1"/>
  <c r="S44"/>
  <c r="AT43"/>
  <c r="AU43"/>
  <c r="S42"/>
  <c r="T42"/>
  <c r="AT41"/>
  <c r="AU41"/>
  <c r="S41"/>
  <c r="T41"/>
  <c r="AT39"/>
  <c r="AU39"/>
  <c r="S39"/>
  <c r="T39"/>
  <c r="S38"/>
  <c r="T38"/>
  <c r="S37"/>
  <c r="T37"/>
  <c r="S36"/>
  <c r="T36"/>
  <c r="AT35"/>
  <c r="AU35"/>
  <c r="S34"/>
  <c r="T34"/>
  <c r="AT33"/>
  <c r="AU33"/>
  <c r="S33"/>
  <c r="T33"/>
  <c r="AT31"/>
  <c r="AU31"/>
  <c r="S31"/>
  <c r="T31"/>
  <c r="S30"/>
  <c r="T30"/>
  <c r="S28"/>
  <c r="T28"/>
  <c r="S27"/>
  <c r="T27"/>
  <c r="AT26"/>
  <c r="AU26"/>
  <c r="AT25"/>
  <c r="AU25"/>
  <c r="S25"/>
  <c r="T25"/>
  <c r="S24"/>
  <c r="T24"/>
  <c r="S23"/>
  <c r="T23"/>
  <c r="S22"/>
  <c r="T22"/>
  <c r="AT21"/>
  <c r="AU21"/>
  <c r="S20"/>
  <c r="T20"/>
  <c r="AT19"/>
  <c r="AU19"/>
  <c r="S19"/>
  <c r="T19"/>
  <c r="AT17"/>
  <c r="AU17"/>
  <c r="S17"/>
  <c r="T17"/>
  <c r="S16"/>
  <c r="T16"/>
  <c r="S15"/>
  <c r="T15"/>
  <c r="S14"/>
  <c r="T14"/>
  <c r="AT13"/>
  <c r="AU13"/>
  <c r="S12"/>
  <c r="T12"/>
  <c r="AT11"/>
  <c r="AU11"/>
  <c r="S11"/>
  <c r="T11"/>
  <c r="S10"/>
  <c r="T10"/>
  <c r="AT9"/>
  <c r="AU9"/>
  <c r="S9"/>
  <c r="T9"/>
  <c r="AT10"/>
  <c r="AU10"/>
  <c r="S13"/>
  <c r="T13"/>
  <c r="AT15"/>
  <c r="AU15"/>
  <c r="S18"/>
  <c r="T18"/>
  <c r="S21"/>
  <c r="T21"/>
  <c r="AT23"/>
  <c r="AU23"/>
  <c r="S26"/>
  <c r="T26"/>
  <c r="AT28"/>
  <c r="AU28"/>
  <c r="S32"/>
  <c r="T32"/>
  <c r="S35"/>
  <c r="T35"/>
  <c r="AT37"/>
  <c r="AU37"/>
  <c r="S40"/>
  <c r="T40"/>
  <c r="S43"/>
  <c r="T43"/>
  <c r="AT45"/>
  <c r="AU45"/>
  <c r="S48"/>
  <c r="T48"/>
  <c r="S51"/>
  <c r="T51"/>
  <c r="AT53"/>
  <c r="S57"/>
  <c r="T57" s="1"/>
  <c r="S60"/>
  <c r="T60" s="1"/>
  <c r="AT62"/>
  <c r="AU62" s="1"/>
  <c r="AT66"/>
  <c r="AU66" s="1"/>
  <c r="S70"/>
  <c r="T70" s="1"/>
  <c r="S73"/>
  <c r="T73" s="1"/>
  <c r="S77"/>
  <c r="T77" s="1"/>
  <c r="AT81"/>
  <c r="AU81" s="1"/>
  <c r="S85"/>
  <c r="T85" s="1"/>
  <c r="S89"/>
  <c r="T89" s="1"/>
  <c r="S92"/>
  <c r="T92" s="1"/>
  <c r="AT95"/>
  <c r="AU95" s="1"/>
  <c r="S100"/>
  <c r="T100" s="1"/>
  <c r="S103"/>
  <c r="T103" s="1"/>
  <c r="AT4"/>
  <c r="AU4" s="1"/>
  <c r="S104"/>
  <c r="T104" s="1"/>
  <c r="AT70"/>
  <c r="AU70" s="1"/>
  <c r="AT74"/>
  <c r="AU74" s="1"/>
  <c r="S78"/>
  <c r="T78" s="1"/>
  <c r="S82"/>
  <c r="T82" s="1"/>
  <c r="S86"/>
  <c r="T86" s="1"/>
  <c r="AT89"/>
  <c r="AU89" s="1"/>
  <c r="S93"/>
  <c r="T93" s="1"/>
  <c r="S97"/>
  <c r="T97" s="1"/>
  <c r="AT100"/>
  <c r="AU100" s="1"/>
  <c r="AT54"/>
  <c r="AU54" s="1"/>
  <c r="S63"/>
  <c r="T63" s="1"/>
  <c r="S66"/>
  <c r="T66" s="1"/>
  <c r="AT68"/>
  <c r="AU68" s="1"/>
  <c r="S71"/>
  <c r="T71" s="1"/>
  <c r="S74"/>
  <c r="T74" s="1"/>
  <c r="AT76"/>
  <c r="AU76" s="1"/>
  <c r="S80"/>
  <c r="T80" s="1"/>
  <c r="S83"/>
  <c r="T83" s="1"/>
  <c r="AT85"/>
  <c r="AU85" s="1"/>
  <c r="S88"/>
  <c r="T88" s="1"/>
  <c r="S91"/>
  <c r="T91" s="1"/>
  <c r="AT93"/>
  <c r="AU93" s="1"/>
  <c r="AT96"/>
  <c r="AU96" s="1"/>
  <c r="S99"/>
  <c r="T99" s="1"/>
  <c r="S102"/>
  <c r="T102" s="1"/>
  <c r="AT29"/>
  <c r="AU29" s="1"/>
  <c r="S54"/>
  <c r="T54" s="1"/>
  <c r="AT12"/>
  <c r="AU12" s="1"/>
  <c r="AT14"/>
  <c r="AU14" s="1"/>
  <c r="AT16"/>
  <c r="AU16" s="1"/>
  <c r="AT18"/>
  <c r="AU18" s="1"/>
  <c r="AT20"/>
  <c r="AU20" s="1"/>
  <c r="AT22"/>
  <c r="AU22" s="1"/>
  <c r="AT24"/>
  <c r="AU24" s="1"/>
  <c r="AT27"/>
  <c r="AU27" s="1"/>
  <c r="AT30"/>
  <c r="AU30" s="1"/>
  <c r="AT32"/>
  <c r="AU32" s="1"/>
  <c r="AT34"/>
  <c r="AU34" s="1"/>
  <c r="AT36"/>
  <c r="AU36" s="1"/>
  <c r="AT38"/>
  <c r="AU38" s="1"/>
  <c r="AT40"/>
  <c r="AU40" s="1"/>
  <c r="AT42"/>
  <c r="AU42" s="1"/>
  <c r="AT44"/>
  <c r="AU44" s="1"/>
  <c r="AT46"/>
  <c r="AU46" s="1"/>
  <c r="AT48"/>
  <c r="AU48" s="1"/>
  <c r="AT50"/>
  <c r="AU50" s="1"/>
  <c r="AT52"/>
  <c r="AU52" s="1"/>
  <c r="AT55"/>
  <c r="AU55" s="1"/>
  <c r="AT57"/>
  <c r="AU57" s="1"/>
  <c r="AT59"/>
  <c r="AU59" s="1"/>
  <c r="AT61"/>
  <c r="AU61" s="1"/>
  <c r="AT63"/>
  <c r="AU63" s="1"/>
  <c r="AT65"/>
  <c r="AU65" s="1"/>
  <c r="AT67"/>
  <c r="AU67" s="1"/>
  <c r="AT69"/>
  <c r="AU69" s="1"/>
  <c r="AT71"/>
  <c r="AU71" s="1"/>
  <c r="AT73"/>
  <c r="AU73" s="1"/>
  <c r="AT75"/>
  <c r="AU75" s="1"/>
  <c r="AT77"/>
  <c r="AU77" s="1"/>
  <c r="AT80"/>
  <c r="AU80" s="1"/>
  <c r="AT82"/>
  <c r="AU82" s="1"/>
  <c r="AT84"/>
  <c r="AU84" s="1"/>
  <c r="AT86"/>
  <c r="AU86" s="1"/>
  <c r="AT88"/>
  <c r="AU88" s="1"/>
  <c r="AT90"/>
  <c r="AU90" s="1"/>
  <c r="AT92"/>
  <c r="AU92" s="1"/>
  <c r="AT94"/>
  <c r="AU94" s="1"/>
  <c r="S96"/>
  <c r="T96" s="1"/>
  <c r="AT97"/>
  <c r="AU97" s="1"/>
  <c r="AT99"/>
  <c r="AU99" s="1"/>
  <c r="AT101"/>
  <c r="AU101" s="1"/>
  <c r="AT103"/>
  <c r="AU103" s="1"/>
  <c r="AT79"/>
  <c r="AU79" s="1"/>
  <c r="R20" i="3"/>
  <c r="AU6" i="2"/>
  <c r="AU53"/>
  <c r="T44"/>
  <c r="T68"/>
  <c r="Z18" i="3"/>
  <c r="Z19"/>
  <c r="S20" s="1"/>
  <c r="C1" i="2"/>
  <c r="Q20" i="3"/>
  <c r="P20"/>
  <c r="M19"/>
  <c r="Z21"/>
  <c r="W20"/>
  <c r="T20" l="1"/>
  <c r="U20"/>
  <c r="L19"/>
  <c r="C5" i="2"/>
  <c r="AE4"/>
  <c r="I4"/>
  <c r="J4" s="1"/>
  <c r="D4"/>
  <c r="V20" i="3"/>
  <c r="Z20"/>
  <c r="AJ4" i="2" l="1"/>
  <c r="AK4" s="1"/>
  <c r="P19" i="3"/>
  <c r="Q19"/>
  <c r="K4" i="2"/>
  <c r="L4"/>
  <c r="P4"/>
  <c r="U4" s="1"/>
  <c r="O4"/>
  <c r="D5"/>
  <c r="AE5"/>
  <c r="C6"/>
  <c r="I5"/>
  <c r="J5" s="1"/>
  <c r="K5" l="1"/>
  <c r="O5"/>
  <c r="L5"/>
  <c r="P5"/>
  <c r="U5" s="1"/>
  <c r="D6"/>
  <c r="I6"/>
  <c r="J6" s="1"/>
  <c r="AE6"/>
  <c r="C7"/>
  <c r="M4"/>
  <c r="L18" i="3"/>
  <c r="M18"/>
  <c r="M22" s="1"/>
  <c r="U19"/>
  <c r="T19"/>
  <c r="AM4" i="2"/>
  <c r="AQ4"/>
  <c r="AL4"/>
  <c r="AP4"/>
  <c r="V4"/>
  <c r="F4" s="1"/>
  <c r="E4"/>
  <c r="AJ5"/>
  <c r="AK5" s="1"/>
  <c r="M17" i="3"/>
  <c r="W4" i="2"/>
  <c r="L17" i="3"/>
  <c r="L6" l="1"/>
  <c r="M16"/>
  <c r="AD4" i="2"/>
  <c r="AB4"/>
  <c r="AN4"/>
  <c r="Y4"/>
  <c r="AA4" s="1"/>
  <c r="L22" i="3"/>
  <c r="Q18"/>
  <c r="Q22" s="1"/>
  <c r="P18"/>
  <c r="AE7" i="2"/>
  <c r="I7"/>
  <c r="J7" s="1"/>
  <c r="C8"/>
  <c r="D7"/>
  <c r="P6"/>
  <c r="U6" s="1"/>
  <c r="K6"/>
  <c r="L6"/>
  <c r="O6"/>
  <c r="W6" s="1"/>
  <c r="M5"/>
  <c r="L5" i="3"/>
  <c r="L16"/>
  <c r="P17"/>
  <c r="Q17"/>
  <c r="AM5" i="2"/>
  <c r="AP5"/>
  <c r="AQ5"/>
  <c r="AV5" s="1"/>
  <c r="AL5"/>
  <c r="N4"/>
  <c r="Q4" s="1"/>
  <c r="R4"/>
  <c r="AJ6"/>
  <c r="AK6" s="1"/>
  <c r="V5"/>
  <c r="F5" s="1"/>
  <c r="E5"/>
  <c r="AV4"/>
  <c r="W5"/>
  <c r="Z4" l="1"/>
  <c r="L4" i="3"/>
  <c r="AD5" i="2"/>
  <c r="AB5"/>
  <c r="AL6"/>
  <c r="AQ6"/>
  <c r="AM6"/>
  <c r="AP6"/>
  <c r="AW5"/>
  <c r="AF5" s="1"/>
  <c r="G5" s="1"/>
  <c r="U17" i="3"/>
  <c r="T17"/>
  <c r="L7"/>
  <c r="L8"/>
  <c r="AD6" i="2"/>
  <c r="AB6"/>
  <c r="AJ7"/>
  <c r="AK7" s="1"/>
  <c r="M6"/>
  <c r="AW4"/>
  <c r="AF4" s="1"/>
  <c r="G4" s="1"/>
  <c r="AN5"/>
  <c r="Y5"/>
  <c r="AA5" s="1"/>
  <c r="Z5" s="1"/>
  <c r="Q16" i="3"/>
  <c r="P16"/>
  <c r="N5" i="2"/>
  <c r="Q5" s="1"/>
  <c r="V6"/>
  <c r="F6" s="1"/>
  <c r="E6"/>
  <c r="D8"/>
  <c r="C9"/>
  <c r="AE8"/>
  <c r="I8"/>
  <c r="J8" s="1"/>
  <c r="K7"/>
  <c r="P7"/>
  <c r="O7"/>
  <c r="W7" s="1"/>
  <c r="L7"/>
  <c r="U18" i="3"/>
  <c r="U22" s="1"/>
  <c r="T18"/>
  <c r="T22" s="1"/>
  <c r="P22"/>
  <c r="AO4" i="2"/>
  <c r="AR4" s="1"/>
  <c r="AS4"/>
  <c r="L11" i="3" l="1"/>
  <c r="O8" i="2"/>
  <c r="K8"/>
  <c r="P8"/>
  <c r="U8" s="1"/>
  <c r="L8"/>
  <c r="AJ8"/>
  <c r="AK8" s="1"/>
  <c r="U16" i="3"/>
  <c r="T16"/>
  <c r="L10"/>
  <c r="L9"/>
  <c r="U7" i="2"/>
  <c r="R5"/>
  <c r="AG4"/>
  <c r="H4" s="1"/>
  <c r="L12" i="3" s="1"/>
  <c r="AV6" i="2"/>
  <c r="AD7"/>
  <c r="I9"/>
  <c r="J9" s="1"/>
  <c r="D9"/>
  <c r="M3" i="3" s="1"/>
  <c r="C10" i="2"/>
  <c r="AE9"/>
  <c r="AO5"/>
  <c r="AR5" s="1"/>
  <c r="AS5"/>
  <c r="N6"/>
  <c r="Q6" s="1"/>
  <c r="AQ7"/>
  <c r="AM7"/>
  <c r="AL7"/>
  <c r="AP7"/>
  <c r="AN6"/>
  <c r="Y6"/>
  <c r="AA6" s="1"/>
  <c r="Z6" s="1"/>
  <c r="M7"/>
  <c r="AG5"/>
  <c r="H5" s="1"/>
  <c r="AC5" s="1"/>
  <c r="N7" l="1"/>
  <c r="Q7" s="1"/>
  <c r="R7"/>
  <c r="AO6"/>
  <c r="AR6" s="1"/>
  <c r="Y7"/>
  <c r="AA7" s="1"/>
  <c r="Z7" s="1"/>
  <c r="AN7"/>
  <c r="V7"/>
  <c r="E7" s="1"/>
  <c r="AV7"/>
  <c r="R6"/>
  <c r="M8"/>
  <c r="AC4"/>
  <c r="AJ9"/>
  <c r="AK9" s="1"/>
  <c r="I10"/>
  <c r="J10" s="1"/>
  <c r="C11"/>
  <c r="D10"/>
  <c r="AE10"/>
  <c r="L9"/>
  <c r="K9"/>
  <c r="M9" s="1"/>
  <c r="O9"/>
  <c r="P9"/>
  <c r="U9" s="1"/>
  <c r="AW6"/>
  <c r="AG6"/>
  <c r="H6" s="1"/>
  <c r="AF6"/>
  <c r="G6" s="1"/>
  <c r="AL8"/>
  <c r="AM8"/>
  <c r="AP8"/>
  <c r="AQ8"/>
  <c r="AV8" s="1"/>
  <c r="V8"/>
  <c r="F8" s="1"/>
  <c r="AB7"/>
  <c r="W8"/>
  <c r="L13" i="3"/>
  <c r="AB8" i="2" l="1"/>
  <c r="AD8"/>
  <c r="AG8"/>
  <c r="H8" s="1"/>
  <c r="AW8"/>
  <c r="AF8"/>
  <c r="AJ10"/>
  <c r="AK10" s="1"/>
  <c r="D11"/>
  <c r="C12"/>
  <c r="I11"/>
  <c r="J11" s="1"/>
  <c r="AE11"/>
  <c r="AW7"/>
  <c r="AG7" s="1"/>
  <c r="H7" s="1"/>
  <c r="AO7"/>
  <c r="AR7" s="1"/>
  <c r="AS7"/>
  <c r="E8"/>
  <c r="AC6"/>
  <c r="W9"/>
  <c r="F7"/>
  <c r="Y8"/>
  <c r="AA8" s="1"/>
  <c r="Z8" s="1"/>
  <c r="AN8"/>
  <c r="E9"/>
  <c r="M5" i="3" s="1"/>
  <c r="V9" i="2"/>
  <c r="F9" s="1"/>
  <c r="M6" i="3" s="1"/>
  <c r="N9" i="2"/>
  <c r="Q9" s="1"/>
  <c r="O10"/>
  <c r="W10" s="1"/>
  <c r="P10"/>
  <c r="L10"/>
  <c r="K10"/>
  <c r="AP9"/>
  <c r="AQ9"/>
  <c r="AL9"/>
  <c r="AM9"/>
  <c r="N8"/>
  <c r="Q8" s="1"/>
  <c r="AS6"/>
  <c r="Y9" l="1"/>
  <c r="AN9"/>
  <c r="AD10"/>
  <c r="M8" i="3"/>
  <c r="M7"/>
  <c r="AO8" i="2"/>
  <c r="AR8" s="1"/>
  <c r="AS8"/>
  <c r="AJ11"/>
  <c r="AK11" s="1"/>
  <c r="D12"/>
  <c r="I12"/>
  <c r="J12" s="1"/>
  <c r="AE12"/>
  <c r="C13"/>
  <c r="AF7"/>
  <c r="G7" s="1"/>
  <c r="AC7" s="1"/>
  <c r="G8"/>
  <c r="AC8" s="1"/>
  <c r="AD9"/>
  <c r="AA9"/>
  <c r="AB9"/>
  <c r="O11"/>
  <c r="K11"/>
  <c r="L11"/>
  <c r="P11"/>
  <c r="U11" s="1"/>
  <c r="AM10"/>
  <c r="AL10"/>
  <c r="AP10"/>
  <c r="AQ10"/>
  <c r="AV10" s="1"/>
  <c r="R8"/>
  <c r="AV9"/>
  <c r="M10"/>
  <c r="U10"/>
  <c r="R9"/>
  <c r="V10" l="1"/>
  <c r="F10" s="1"/>
  <c r="AW10"/>
  <c r="AF10"/>
  <c r="AG10"/>
  <c r="Y10"/>
  <c r="AA10" s="1"/>
  <c r="Z10" s="1"/>
  <c r="AN10"/>
  <c r="V11"/>
  <c r="F11" s="1"/>
  <c r="E11"/>
  <c r="AJ12"/>
  <c r="AK12" s="1"/>
  <c r="M9" i="3"/>
  <c r="M10"/>
  <c r="M11" i="2"/>
  <c r="AB10"/>
  <c r="AW9"/>
  <c r="AG9" s="1"/>
  <c r="H9" s="1"/>
  <c r="M12" i="3" s="1"/>
  <c r="N10" i="2"/>
  <c r="Q10" s="1"/>
  <c r="M4" i="3"/>
  <c r="Z9" i="2"/>
  <c r="I13"/>
  <c r="J13" s="1"/>
  <c r="C14"/>
  <c r="D13"/>
  <c r="AE13"/>
  <c r="L12"/>
  <c r="K12"/>
  <c r="M12" s="1"/>
  <c r="P12"/>
  <c r="O12"/>
  <c r="W12" s="1"/>
  <c r="AQ11"/>
  <c r="AP11"/>
  <c r="AL11"/>
  <c r="AM11"/>
  <c r="AO9"/>
  <c r="AR9" s="1"/>
  <c r="AS9"/>
  <c r="W11"/>
  <c r="AD12" l="1"/>
  <c r="N12"/>
  <c r="Q12" s="1"/>
  <c r="AJ13"/>
  <c r="AK13" s="1"/>
  <c r="O13"/>
  <c r="P13"/>
  <c r="U13" s="1"/>
  <c r="L13"/>
  <c r="K13"/>
  <c r="M13" s="1"/>
  <c r="E10"/>
  <c r="G10" s="1"/>
  <c r="AC10" s="1"/>
  <c r="AB11"/>
  <c r="AD11"/>
  <c r="AN11"/>
  <c r="Y11"/>
  <c r="AA11" s="1"/>
  <c r="Z11" s="1"/>
  <c r="C15"/>
  <c r="D14"/>
  <c r="N3" i="3" s="1"/>
  <c r="AE14" i="2"/>
  <c r="I14"/>
  <c r="J14" s="1"/>
  <c r="N11"/>
  <c r="Q11" s="1"/>
  <c r="R11"/>
  <c r="AQ12"/>
  <c r="AM12"/>
  <c r="AP12"/>
  <c r="AL12"/>
  <c r="AO10"/>
  <c r="AR10" s="1"/>
  <c r="AS10"/>
  <c r="AV11"/>
  <c r="U12"/>
  <c r="R10"/>
  <c r="AF9"/>
  <c r="G9" s="1"/>
  <c r="H10"/>
  <c r="AC9" l="1"/>
  <c r="M11" i="3"/>
  <c r="M13" s="1"/>
  <c r="Y12" i="2"/>
  <c r="AA12" s="1"/>
  <c r="Z12" s="1"/>
  <c r="AN12"/>
  <c r="P14"/>
  <c r="K14"/>
  <c r="O14"/>
  <c r="W14" s="1"/>
  <c r="L14"/>
  <c r="AJ14"/>
  <c r="AK14" s="1"/>
  <c r="C16"/>
  <c r="I15"/>
  <c r="J15" s="1"/>
  <c r="AE15"/>
  <c r="D15"/>
  <c r="AO11"/>
  <c r="AR11" s="1"/>
  <c r="AS11"/>
  <c r="N13"/>
  <c r="Q13" s="1"/>
  <c r="R13"/>
  <c r="V13"/>
  <c r="E13" s="1"/>
  <c r="F13"/>
  <c r="V12"/>
  <c r="E12" s="1"/>
  <c r="AF11"/>
  <c r="G11" s="1"/>
  <c r="AW11"/>
  <c r="AG11"/>
  <c r="H11" s="1"/>
  <c r="AQ13"/>
  <c r="AP13"/>
  <c r="AM13"/>
  <c r="AL13"/>
  <c r="AV12"/>
  <c r="W13"/>
  <c r="R12"/>
  <c r="AB12"/>
  <c r="AW12" l="1"/>
  <c r="AF12" s="1"/>
  <c r="G12" s="1"/>
  <c r="AJ15"/>
  <c r="AK15" s="1"/>
  <c r="AE16"/>
  <c r="I16"/>
  <c r="J16" s="1"/>
  <c r="C17"/>
  <c r="D16"/>
  <c r="AM14"/>
  <c r="AQ14"/>
  <c r="AP14"/>
  <c r="AL14"/>
  <c r="AB14"/>
  <c r="AD14"/>
  <c r="AV13"/>
  <c r="F12"/>
  <c r="U14"/>
  <c r="AB13"/>
  <c r="AD13"/>
  <c r="AA13"/>
  <c r="Z13" s="1"/>
  <c r="Y13"/>
  <c r="AN13"/>
  <c r="O15"/>
  <c r="P15"/>
  <c r="U15" s="1"/>
  <c r="L15"/>
  <c r="K15"/>
  <c r="M15" s="1"/>
  <c r="AO12"/>
  <c r="AR12" s="1"/>
  <c r="AS12"/>
  <c r="AC11"/>
  <c r="M14"/>
  <c r="N15" l="1"/>
  <c r="Q15" s="1"/>
  <c r="R15"/>
  <c r="V15"/>
  <c r="E15" s="1"/>
  <c r="AS13"/>
  <c r="AO13"/>
  <c r="AR13" s="1"/>
  <c r="D17"/>
  <c r="I17"/>
  <c r="J17" s="1"/>
  <c r="AE17"/>
  <c r="C18"/>
  <c r="L16"/>
  <c r="K16"/>
  <c r="M16" s="1"/>
  <c r="O16"/>
  <c r="P16"/>
  <c r="U16" s="1"/>
  <c r="AG12"/>
  <c r="H12" s="1"/>
  <c r="AC12" s="1"/>
  <c r="N14"/>
  <c r="Q14" s="1"/>
  <c r="V14"/>
  <c r="F14" s="1"/>
  <c r="N6" i="3" s="1"/>
  <c r="E14" i="2"/>
  <c r="N5" i="3" s="1"/>
  <c r="AW13" i="2"/>
  <c r="AG13" s="1"/>
  <c r="H13" s="1"/>
  <c r="Y14"/>
  <c r="AA14" s="1"/>
  <c r="AN14"/>
  <c r="AJ16"/>
  <c r="AK16" s="1"/>
  <c r="AQ15"/>
  <c r="AV15" s="1"/>
  <c r="AM15"/>
  <c r="AL15"/>
  <c r="AP15"/>
  <c r="W15"/>
  <c r="AV14"/>
  <c r="AW15" l="1"/>
  <c r="AF15" s="1"/>
  <c r="G15" s="1"/>
  <c r="AG15"/>
  <c r="Z14"/>
  <c r="N4" i="3"/>
  <c r="N8"/>
  <c r="N7"/>
  <c r="V16" i="2"/>
  <c r="E16"/>
  <c r="F16"/>
  <c r="N16"/>
  <c r="Q16" s="1"/>
  <c r="C19"/>
  <c r="D18"/>
  <c r="I18"/>
  <c r="J18" s="1"/>
  <c r="AE18"/>
  <c r="L17"/>
  <c r="P17"/>
  <c r="U17" s="1"/>
  <c r="O17"/>
  <c r="K17"/>
  <c r="M17" s="1"/>
  <c r="AD15"/>
  <c r="AB15"/>
  <c r="Y15"/>
  <c r="AA15" s="1"/>
  <c r="Z15" s="1"/>
  <c r="AN15"/>
  <c r="AW14"/>
  <c r="AF14" s="1"/>
  <c r="G14" s="1"/>
  <c r="AG14"/>
  <c r="H14" s="1"/>
  <c r="N12" i="3" s="1"/>
  <c r="AM16" i="2"/>
  <c r="AL16"/>
  <c r="AP16"/>
  <c r="AQ16"/>
  <c r="AV16" s="1"/>
  <c r="AO14"/>
  <c r="AR14" s="1"/>
  <c r="AS14"/>
  <c r="AJ17"/>
  <c r="AK17" s="1"/>
  <c r="AF13"/>
  <c r="G13" s="1"/>
  <c r="AC13" s="1"/>
  <c r="R14"/>
  <c r="W16"/>
  <c r="F15"/>
  <c r="N11" i="3" l="1"/>
  <c r="N13" s="1"/>
  <c r="AC14" i="2"/>
  <c r="AW16"/>
  <c r="AF16" s="1"/>
  <c r="G16" s="1"/>
  <c r="Y16"/>
  <c r="AN16"/>
  <c r="R17"/>
  <c r="N17"/>
  <c r="Q17" s="1"/>
  <c r="V17"/>
  <c r="E17" s="1"/>
  <c r="AJ18"/>
  <c r="AK18" s="1"/>
  <c r="I19"/>
  <c r="J19" s="1"/>
  <c r="D19"/>
  <c r="O3" i="3" s="1"/>
  <c r="AE19" i="2"/>
  <c r="C20"/>
  <c r="N10" i="3"/>
  <c r="N9"/>
  <c r="H15" i="2"/>
  <c r="AC15" s="1"/>
  <c r="AD16"/>
  <c r="AA16"/>
  <c r="Z16" s="1"/>
  <c r="AB16"/>
  <c r="AP17"/>
  <c r="AM17"/>
  <c r="AL17"/>
  <c r="AQ17"/>
  <c r="AV17" s="1"/>
  <c r="AO15"/>
  <c r="AR15" s="1"/>
  <c r="K18"/>
  <c r="M18" s="1"/>
  <c r="L18"/>
  <c r="P18"/>
  <c r="U18" s="1"/>
  <c r="O18"/>
  <c r="W17"/>
  <c r="R16"/>
  <c r="V18" l="1"/>
  <c r="F18" s="1"/>
  <c r="R18"/>
  <c r="N18"/>
  <c r="Q18" s="1"/>
  <c r="Y17"/>
  <c r="AN17"/>
  <c r="F17"/>
  <c r="AB17"/>
  <c r="AA17"/>
  <c r="Z17" s="1"/>
  <c r="AD17"/>
  <c r="AW17"/>
  <c r="AG17" s="1"/>
  <c r="H17" s="1"/>
  <c r="I20"/>
  <c r="J20" s="1"/>
  <c r="AE20"/>
  <c r="D20"/>
  <c r="C21"/>
  <c r="AJ19"/>
  <c r="AK19" s="1"/>
  <c r="L19"/>
  <c r="O19"/>
  <c r="P19"/>
  <c r="U19" s="1"/>
  <c r="K19"/>
  <c r="AP18"/>
  <c r="AQ18"/>
  <c r="AL18"/>
  <c r="AM18"/>
  <c r="AO16"/>
  <c r="AR16" s="1"/>
  <c r="W18"/>
  <c r="AS15"/>
  <c r="AG16"/>
  <c r="H16" s="1"/>
  <c r="AC16" s="1"/>
  <c r="AB18" l="1"/>
  <c r="AD18"/>
  <c r="AN18"/>
  <c r="Y18"/>
  <c r="AA18" s="1"/>
  <c r="Z18" s="1"/>
  <c r="V19"/>
  <c r="F19" s="1"/>
  <c r="O6" i="3" s="1"/>
  <c r="E19" i="2"/>
  <c r="O5" i="3" s="1"/>
  <c r="AM19" i="2"/>
  <c r="AL19"/>
  <c r="AQ19"/>
  <c r="AP19"/>
  <c r="D21"/>
  <c r="I21"/>
  <c r="J21" s="1"/>
  <c r="AE21"/>
  <c r="C22"/>
  <c r="AJ20"/>
  <c r="AK20" s="1"/>
  <c r="AF17"/>
  <c r="G17" s="1"/>
  <c r="AC17" s="1"/>
  <c r="L20"/>
  <c r="O20"/>
  <c r="K20"/>
  <c r="M20" s="1"/>
  <c r="P20"/>
  <c r="U20" s="1"/>
  <c r="AO17"/>
  <c r="AR17" s="1"/>
  <c r="AS16"/>
  <c r="AV18"/>
  <c r="M19"/>
  <c r="W19"/>
  <c r="E18"/>
  <c r="AW18" l="1"/>
  <c r="AG18" s="1"/>
  <c r="H18" s="1"/>
  <c r="AF18"/>
  <c r="G18" s="1"/>
  <c r="N19"/>
  <c r="Q19" s="1"/>
  <c r="R19"/>
  <c r="N20"/>
  <c r="Q20" s="1"/>
  <c r="R20"/>
  <c r="D22"/>
  <c r="I22"/>
  <c r="J22" s="1"/>
  <c r="AE22"/>
  <c r="C23"/>
  <c r="O21"/>
  <c r="L21"/>
  <c r="P21"/>
  <c r="U21" s="1"/>
  <c r="K21"/>
  <c r="M21" s="1"/>
  <c r="AS17"/>
  <c r="AV19"/>
  <c r="AB19"/>
  <c r="AD19"/>
  <c r="V20"/>
  <c r="F20" s="1"/>
  <c r="AM20"/>
  <c r="AL20"/>
  <c r="AP20"/>
  <c r="AQ20"/>
  <c r="AJ21"/>
  <c r="AK21" s="1"/>
  <c r="Y19"/>
  <c r="AA19" s="1"/>
  <c r="AN19"/>
  <c r="O7" i="3"/>
  <c r="O8"/>
  <c r="AO18" i="2"/>
  <c r="AR18" s="1"/>
  <c r="W20"/>
  <c r="O4" i="3" l="1"/>
  <c r="Z19" i="2"/>
  <c r="O9" i="3"/>
  <c r="O10"/>
  <c r="E21" i="2"/>
  <c r="V21"/>
  <c r="F21"/>
  <c r="AJ22"/>
  <c r="AK22" s="1"/>
  <c r="W21"/>
  <c r="AC18"/>
  <c r="AD20"/>
  <c r="AB20"/>
  <c r="AQ21"/>
  <c r="AV21" s="1"/>
  <c r="AP21"/>
  <c r="AL21"/>
  <c r="AM21"/>
  <c r="AO19"/>
  <c r="AR19" s="1"/>
  <c r="AN20"/>
  <c r="Y20"/>
  <c r="AA20" s="1"/>
  <c r="Z20" s="1"/>
  <c r="AG19"/>
  <c r="H19" s="1"/>
  <c r="O12" i="3" s="1"/>
  <c r="AW19" i="2"/>
  <c r="AF19"/>
  <c r="G19" s="1"/>
  <c r="N21"/>
  <c r="Q21" s="1"/>
  <c r="R21"/>
  <c r="D23"/>
  <c r="C24"/>
  <c r="I23"/>
  <c r="J23" s="1"/>
  <c r="AE23"/>
  <c r="P22"/>
  <c r="U22" s="1"/>
  <c r="O22"/>
  <c r="K22"/>
  <c r="M22" s="1"/>
  <c r="L22"/>
  <c r="AS18"/>
  <c r="AV20"/>
  <c r="E20"/>
  <c r="N22" l="1"/>
  <c r="Q22" s="1"/>
  <c r="AJ23"/>
  <c r="AK23" s="1"/>
  <c r="D24"/>
  <c r="P3" i="3" s="1"/>
  <c r="I24" i="2"/>
  <c r="J24" s="1"/>
  <c r="C25"/>
  <c r="AE24"/>
  <c r="O11" i="3"/>
  <c r="O13" s="1"/>
  <c r="AC19" i="2"/>
  <c r="AO20"/>
  <c r="AR20" s="1"/>
  <c r="AS20"/>
  <c r="AN21"/>
  <c r="Y21"/>
  <c r="AW21"/>
  <c r="AG21"/>
  <c r="H21" s="1"/>
  <c r="AF21"/>
  <c r="G21" s="1"/>
  <c r="V22"/>
  <c r="E22" s="1"/>
  <c r="F22"/>
  <c r="AW20"/>
  <c r="AF20" s="1"/>
  <c r="G20" s="1"/>
  <c r="AC20" s="1"/>
  <c r="AG20"/>
  <c r="H20" s="1"/>
  <c r="P23"/>
  <c r="K23"/>
  <c r="O23"/>
  <c r="W23" s="1"/>
  <c r="L23"/>
  <c r="AB21"/>
  <c r="AA21"/>
  <c r="Z21" s="1"/>
  <c r="AD21"/>
  <c r="AQ22"/>
  <c r="AL22"/>
  <c r="AM22"/>
  <c r="AP22"/>
  <c r="W22"/>
  <c r="AS19"/>
  <c r="Y22" l="1"/>
  <c r="AN22"/>
  <c r="AD23"/>
  <c r="I25"/>
  <c r="J25" s="1"/>
  <c r="AE25"/>
  <c r="C26"/>
  <c r="D25"/>
  <c r="AL23"/>
  <c r="AP23"/>
  <c r="AM23"/>
  <c r="AQ23"/>
  <c r="AV23" s="1"/>
  <c r="U23"/>
  <c r="AB22"/>
  <c r="AA22"/>
  <c r="Z22" s="1"/>
  <c r="AD22"/>
  <c r="AS21"/>
  <c r="AO21"/>
  <c r="AR21" s="1"/>
  <c r="AJ24"/>
  <c r="AK24" s="1"/>
  <c r="L24"/>
  <c r="K24"/>
  <c r="P24"/>
  <c r="U24" s="1"/>
  <c r="O24"/>
  <c r="AV22"/>
  <c r="M23"/>
  <c r="AC21"/>
  <c r="R22"/>
  <c r="V24" l="1"/>
  <c r="E24" s="1"/>
  <c r="P5" i="3" s="1"/>
  <c r="F24" i="2"/>
  <c r="P6" i="3" s="1"/>
  <c r="AL24" i="2"/>
  <c r="AQ24"/>
  <c r="AM24"/>
  <c r="AP24"/>
  <c r="V23"/>
  <c r="E23"/>
  <c r="F23"/>
  <c r="Y23"/>
  <c r="AA23" s="1"/>
  <c r="Z23" s="1"/>
  <c r="AN23"/>
  <c r="AJ25"/>
  <c r="AK25" s="1"/>
  <c r="AB23"/>
  <c r="AW22"/>
  <c r="AG22"/>
  <c r="H22" s="1"/>
  <c r="AF22"/>
  <c r="G22" s="1"/>
  <c r="N23"/>
  <c r="Q23" s="1"/>
  <c r="AW23"/>
  <c r="AF23" s="1"/>
  <c r="G23" s="1"/>
  <c r="I26"/>
  <c r="J26" s="1"/>
  <c r="D26"/>
  <c r="AE26"/>
  <c r="C27"/>
  <c r="L25"/>
  <c r="K25"/>
  <c r="P25"/>
  <c r="U25" s="1"/>
  <c r="O25"/>
  <c r="AO22"/>
  <c r="AR22" s="1"/>
  <c r="W24"/>
  <c r="M24"/>
  <c r="P8" i="3" l="1"/>
  <c r="P7"/>
  <c r="F25" i="2"/>
  <c r="V25"/>
  <c r="E25" s="1"/>
  <c r="I27"/>
  <c r="J27" s="1"/>
  <c r="D27"/>
  <c r="AE27"/>
  <c r="C28"/>
  <c r="AG23"/>
  <c r="H23" s="1"/>
  <c r="AC23" s="1"/>
  <c r="AV24"/>
  <c r="AB24"/>
  <c r="AD24"/>
  <c r="N24"/>
  <c r="Q24" s="1"/>
  <c r="AJ26"/>
  <c r="AK26" s="1"/>
  <c r="K26"/>
  <c r="M26" s="1"/>
  <c r="L26"/>
  <c r="P26"/>
  <c r="U26" s="1"/>
  <c r="O26"/>
  <c r="AM25"/>
  <c r="AP25"/>
  <c r="AQ25"/>
  <c r="AV25" s="1"/>
  <c r="AL25"/>
  <c r="AO23"/>
  <c r="AR23" s="1"/>
  <c r="Y24"/>
  <c r="AA24" s="1"/>
  <c r="AN24"/>
  <c r="AS22"/>
  <c r="W25"/>
  <c r="M25"/>
  <c r="R23"/>
  <c r="AC22"/>
  <c r="Z24" l="1"/>
  <c r="P4" i="3"/>
  <c r="N25" i="2"/>
  <c r="Q25" s="1"/>
  <c r="V26"/>
  <c r="E26" s="1"/>
  <c r="F26"/>
  <c r="N26"/>
  <c r="Q26" s="1"/>
  <c r="R26"/>
  <c r="AL26"/>
  <c r="AM26"/>
  <c r="AQ26"/>
  <c r="AP26"/>
  <c r="AG24"/>
  <c r="H24" s="1"/>
  <c r="P12" i="3" s="1"/>
  <c r="AW24" i="2"/>
  <c r="AF24" s="1"/>
  <c r="G24" s="1"/>
  <c r="I28"/>
  <c r="J28" s="1"/>
  <c r="C29"/>
  <c r="D28"/>
  <c r="AE28"/>
  <c r="P27"/>
  <c r="O27"/>
  <c r="W27" s="1"/>
  <c r="K27"/>
  <c r="L27"/>
  <c r="AW25"/>
  <c r="AG25" s="1"/>
  <c r="H25" s="1"/>
  <c r="AD25"/>
  <c r="AB25"/>
  <c r="AO24"/>
  <c r="AR24" s="1"/>
  <c r="AS24"/>
  <c r="AN25"/>
  <c r="Y25"/>
  <c r="AA25" s="1"/>
  <c r="Z25" s="1"/>
  <c r="AJ27"/>
  <c r="AK27" s="1"/>
  <c r="P10" i="3"/>
  <c r="P9"/>
  <c r="AS23" i="2"/>
  <c r="W26"/>
  <c r="R24"/>
  <c r="P11" i="3" l="1"/>
  <c r="P13" s="1"/>
  <c r="AC24" i="2"/>
  <c r="AD26"/>
  <c r="AB26"/>
  <c r="AD27"/>
  <c r="P28"/>
  <c r="U28" s="1"/>
  <c r="O28"/>
  <c r="L28"/>
  <c r="K28"/>
  <c r="AQ27"/>
  <c r="AV27" s="1"/>
  <c r="AP27"/>
  <c r="AL27"/>
  <c r="AM27"/>
  <c r="AS25"/>
  <c r="AO25"/>
  <c r="AR25" s="1"/>
  <c r="AJ28"/>
  <c r="AK28" s="1"/>
  <c r="D29"/>
  <c r="Q3" i="3" s="1"/>
  <c r="I29" i="2"/>
  <c r="J29" s="1"/>
  <c r="C30"/>
  <c r="AE29"/>
  <c r="AN26"/>
  <c r="Y26"/>
  <c r="AA26" s="1"/>
  <c r="Z26" s="1"/>
  <c r="AF25"/>
  <c r="G25" s="1"/>
  <c r="AC25" s="1"/>
  <c r="M27"/>
  <c r="U27"/>
  <c r="AV26"/>
  <c r="R25"/>
  <c r="N27" l="1"/>
  <c r="Q27" s="1"/>
  <c r="I30"/>
  <c r="J30" s="1"/>
  <c r="D30"/>
  <c r="AE30"/>
  <c r="C31"/>
  <c r="AP28"/>
  <c r="AQ28"/>
  <c r="AV28" s="1"/>
  <c r="AL28"/>
  <c r="AM28"/>
  <c r="Y27"/>
  <c r="AA27" s="1"/>
  <c r="Z27" s="1"/>
  <c r="AN27"/>
  <c r="AW27"/>
  <c r="AG27"/>
  <c r="AF27"/>
  <c r="V28"/>
  <c r="F28" s="1"/>
  <c r="AB27"/>
  <c r="AW26"/>
  <c r="AF26" s="1"/>
  <c r="G26" s="1"/>
  <c r="V27"/>
  <c r="F27" s="1"/>
  <c r="AO26"/>
  <c r="AR26" s="1"/>
  <c r="AJ29"/>
  <c r="AK29" s="1"/>
  <c r="P29"/>
  <c r="L29"/>
  <c r="O29"/>
  <c r="W29" s="1"/>
  <c r="K29"/>
  <c r="M29" s="1"/>
  <c r="M28"/>
  <c r="W28"/>
  <c r="N28" l="1"/>
  <c r="Q28" s="1"/>
  <c r="R28"/>
  <c r="AO27"/>
  <c r="AR27" s="1"/>
  <c r="AS27"/>
  <c r="AW28"/>
  <c r="AF28"/>
  <c r="AG28"/>
  <c r="H28" s="1"/>
  <c r="C32"/>
  <c r="AE31"/>
  <c r="I31"/>
  <c r="J31" s="1"/>
  <c r="D31"/>
  <c r="AJ30"/>
  <c r="AK30" s="1"/>
  <c r="P30"/>
  <c r="L30"/>
  <c r="K30"/>
  <c r="M30" s="1"/>
  <c r="O30"/>
  <c r="W30" s="1"/>
  <c r="U29"/>
  <c r="AG26"/>
  <c r="H26" s="1"/>
  <c r="AC26" s="1"/>
  <c r="E28"/>
  <c r="H27"/>
  <c r="AD29"/>
  <c r="AP29"/>
  <c r="AM29"/>
  <c r="AL29"/>
  <c r="AQ29"/>
  <c r="AV29" s="1"/>
  <c r="AD28"/>
  <c r="AA28"/>
  <c r="Z28" s="1"/>
  <c r="AB28"/>
  <c r="N29"/>
  <c r="Q29" s="1"/>
  <c r="AN28"/>
  <c r="Y28"/>
  <c r="AS26"/>
  <c r="E27"/>
  <c r="G27"/>
  <c r="AC27" s="1"/>
  <c r="R27"/>
  <c r="Y29" l="1"/>
  <c r="AA29" s="1"/>
  <c r="AN29"/>
  <c r="AD30"/>
  <c r="P31"/>
  <c r="O31"/>
  <c r="W31" s="1"/>
  <c r="K31"/>
  <c r="L31"/>
  <c r="AE32"/>
  <c r="C33"/>
  <c r="D32"/>
  <c r="I32"/>
  <c r="J32" s="1"/>
  <c r="R29"/>
  <c r="AB29"/>
  <c r="G28"/>
  <c r="AC28" s="1"/>
  <c r="AO28"/>
  <c r="AR28" s="1"/>
  <c r="AS28"/>
  <c r="AW29"/>
  <c r="AG29"/>
  <c r="AF29"/>
  <c r="V29"/>
  <c r="F29" s="1"/>
  <c r="Q6" i="3" s="1"/>
  <c r="E29" i="2"/>
  <c r="Q5" i="3" s="1"/>
  <c r="N30" i="2"/>
  <c r="Q30" s="1"/>
  <c r="R30"/>
  <c r="AP30"/>
  <c r="AL30"/>
  <c r="AM30"/>
  <c r="AQ30"/>
  <c r="AV30" s="1"/>
  <c r="AJ31"/>
  <c r="AK31" s="1"/>
  <c r="U30"/>
  <c r="AW30" l="1"/>
  <c r="AF30" s="1"/>
  <c r="G30" s="1"/>
  <c r="Y30"/>
  <c r="AA30" s="1"/>
  <c r="Z30" s="1"/>
  <c r="AN30"/>
  <c r="Q7" i="3"/>
  <c r="Q8"/>
  <c r="O32" i="2"/>
  <c r="P32"/>
  <c r="U32" s="1"/>
  <c r="K32"/>
  <c r="L32"/>
  <c r="C34"/>
  <c r="I33"/>
  <c r="J33" s="1"/>
  <c r="AE33"/>
  <c r="D33"/>
  <c r="AD31"/>
  <c r="Q4" i="3"/>
  <c r="Z29" i="2"/>
  <c r="H29"/>
  <c r="Q12" i="3" s="1"/>
  <c r="AB30" i="2"/>
  <c r="E30"/>
  <c r="V30"/>
  <c r="F30" s="1"/>
  <c r="AP31"/>
  <c r="AM31"/>
  <c r="AL31"/>
  <c r="AQ31"/>
  <c r="AV31" s="1"/>
  <c r="AJ32"/>
  <c r="AK32" s="1"/>
  <c r="AS29"/>
  <c r="AO29"/>
  <c r="AR29" s="1"/>
  <c r="G29"/>
  <c r="M31"/>
  <c r="U31"/>
  <c r="V31" l="1"/>
  <c r="E31"/>
  <c r="F31"/>
  <c r="AC29"/>
  <c r="Q11" i="3"/>
  <c r="Q13" s="1"/>
  <c r="Y31" i="2"/>
  <c r="AA31" s="1"/>
  <c r="Z31" s="1"/>
  <c r="AN31"/>
  <c r="AJ33"/>
  <c r="AK33" s="1"/>
  <c r="V32"/>
  <c r="F32" s="1"/>
  <c r="AO30"/>
  <c r="AR30" s="1"/>
  <c r="AS30"/>
  <c r="AB31"/>
  <c r="AG30"/>
  <c r="H30" s="1"/>
  <c r="AC30" s="1"/>
  <c r="N31"/>
  <c r="Q31" s="1"/>
  <c r="R31"/>
  <c r="AM32"/>
  <c r="AP32"/>
  <c r="AL32"/>
  <c r="AQ32"/>
  <c r="AV32" s="1"/>
  <c r="AW31"/>
  <c r="AF31"/>
  <c r="G31" s="1"/>
  <c r="AC31" s="1"/>
  <c r="AG31"/>
  <c r="H31" s="1"/>
  <c r="L33"/>
  <c r="O33"/>
  <c r="P33"/>
  <c r="U33" s="1"/>
  <c r="K33"/>
  <c r="I34"/>
  <c r="J34" s="1"/>
  <c r="AE34"/>
  <c r="C35"/>
  <c r="D34"/>
  <c r="R3" i="3" s="1"/>
  <c r="Q10"/>
  <c r="Q9"/>
  <c r="M32" i="2"/>
  <c r="W32"/>
  <c r="AB32" l="1"/>
  <c r="AD32"/>
  <c r="K34"/>
  <c r="P34"/>
  <c r="L34"/>
  <c r="O34"/>
  <c r="W34" s="1"/>
  <c r="AW32"/>
  <c r="AF32"/>
  <c r="AG32"/>
  <c r="H32" s="1"/>
  <c r="AM33"/>
  <c r="AP33"/>
  <c r="AL33"/>
  <c r="AQ33"/>
  <c r="AV33" s="1"/>
  <c r="E32"/>
  <c r="V33"/>
  <c r="E33"/>
  <c r="F33"/>
  <c r="N32"/>
  <c r="Q32" s="1"/>
  <c r="D35"/>
  <c r="I35"/>
  <c r="J35" s="1"/>
  <c r="C36"/>
  <c r="AE35"/>
  <c r="AJ34"/>
  <c r="AK34" s="1"/>
  <c r="AN32"/>
  <c r="Y32"/>
  <c r="AA32" s="1"/>
  <c r="Z32" s="1"/>
  <c r="AO31"/>
  <c r="AR31" s="1"/>
  <c r="M33"/>
  <c r="W33"/>
  <c r="AO32" l="1"/>
  <c r="AR32" s="1"/>
  <c r="AB33"/>
  <c r="AD33"/>
  <c r="AJ35"/>
  <c r="AK35" s="1"/>
  <c r="D36"/>
  <c r="AE36"/>
  <c r="I36"/>
  <c r="J36" s="1"/>
  <c r="C37"/>
  <c r="Y33"/>
  <c r="AA33" s="1"/>
  <c r="Z33" s="1"/>
  <c r="AN33"/>
  <c r="AD34"/>
  <c r="AS31"/>
  <c r="G32"/>
  <c r="AC32" s="1"/>
  <c r="U34"/>
  <c r="N33"/>
  <c r="Q33" s="1"/>
  <c r="R33"/>
  <c r="AM34"/>
  <c r="AQ34"/>
  <c r="AP34"/>
  <c r="AL34"/>
  <c r="AB34" s="1"/>
  <c r="L35"/>
  <c r="O35"/>
  <c r="P35"/>
  <c r="U35" s="1"/>
  <c r="K35"/>
  <c r="M35" s="1"/>
  <c r="AW33"/>
  <c r="AG33" s="1"/>
  <c r="H33" s="1"/>
  <c r="R32"/>
  <c r="M34"/>
  <c r="V35" l="1"/>
  <c r="E35" s="1"/>
  <c r="F35"/>
  <c r="AJ36"/>
  <c r="AK36" s="1"/>
  <c r="N34"/>
  <c r="Q34" s="1"/>
  <c r="R34"/>
  <c r="N35"/>
  <c r="Q35" s="1"/>
  <c r="R35"/>
  <c r="Y34"/>
  <c r="AA34" s="1"/>
  <c r="AN34"/>
  <c r="V34"/>
  <c r="F34" s="1"/>
  <c r="R6" i="3" s="1"/>
  <c r="AO33" i="2"/>
  <c r="AR33" s="1"/>
  <c r="AS33"/>
  <c r="C38"/>
  <c r="I37"/>
  <c r="J37" s="1"/>
  <c r="AE37"/>
  <c r="D37"/>
  <c r="K36"/>
  <c r="O36"/>
  <c r="L36"/>
  <c r="P36"/>
  <c r="U36" s="1"/>
  <c r="AQ35"/>
  <c r="AM35"/>
  <c r="AP35"/>
  <c r="AL35"/>
  <c r="AF33"/>
  <c r="G33" s="1"/>
  <c r="AC33" s="1"/>
  <c r="W35"/>
  <c r="AV34"/>
  <c r="AS32"/>
  <c r="AW34" l="1"/>
  <c r="AG34" s="1"/>
  <c r="H34" s="1"/>
  <c r="R12" i="3" s="1"/>
  <c r="AB35" i="2"/>
  <c r="AD35"/>
  <c r="AA35"/>
  <c r="Z35" s="1"/>
  <c r="Y35"/>
  <c r="AN35"/>
  <c r="V36"/>
  <c r="F36" s="1"/>
  <c r="E36"/>
  <c r="AJ37"/>
  <c r="AK37" s="1"/>
  <c r="AE38"/>
  <c r="D38"/>
  <c r="I38"/>
  <c r="J38" s="1"/>
  <c r="C39"/>
  <c r="AO34"/>
  <c r="AR34" s="1"/>
  <c r="AS34"/>
  <c r="W36"/>
  <c r="E34"/>
  <c r="R5" i="3" s="1"/>
  <c r="P37" i="2"/>
  <c r="O37"/>
  <c r="W37" s="1"/>
  <c r="L37"/>
  <c r="K37"/>
  <c r="M37" s="1"/>
  <c r="Z34"/>
  <c r="R4" i="3"/>
  <c r="AM36" i="2"/>
  <c r="AP36"/>
  <c r="AQ36"/>
  <c r="AV36" s="1"/>
  <c r="AL36"/>
  <c r="AV35"/>
  <c r="M36"/>
  <c r="AW35" l="1"/>
  <c r="AG35" s="1"/>
  <c r="H35" s="1"/>
  <c r="AF35"/>
  <c r="G35" s="1"/>
  <c r="AF36"/>
  <c r="G36" s="1"/>
  <c r="AW36"/>
  <c r="AG36" s="1"/>
  <c r="H36" s="1"/>
  <c r="AB36"/>
  <c r="AD36"/>
  <c r="AE39"/>
  <c r="I39"/>
  <c r="J39" s="1"/>
  <c r="D39"/>
  <c r="S3" i="3" s="1"/>
  <c r="C40" i="2"/>
  <c r="U37"/>
  <c r="AF34"/>
  <c r="G34" s="1"/>
  <c r="N36"/>
  <c r="Q36" s="1"/>
  <c r="Y36"/>
  <c r="AA36" s="1"/>
  <c r="Z36" s="1"/>
  <c r="AN36"/>
  <c r="N37"/>
  <c r="Q37" s="1"/>
  <c r="AD37"/>
  <c r="R8" i="3"/>
  <c r="R7"/>
  <c r="O38" i="2"/>
  <c r="P38"/>
  <c r="U38" s="1"/>
  <c r="L38"/>
  <c r="K38"/>
  <c r="M38" s="1"/>
  <c r="AJ38"/>
  <c r="AK38" s="1"/>
  <c r="AQ37"/>
  <c r="AM37"/>
  <c r="AP37"/>
  <c r="AL37"/>
  <c r="AO35"/>
  <c r="AR35" s="1"/>
  <c r="AS35"/>
  <c r="Y37" l="1"/>
  <c r="AA37" s="1"/>
  <c r="Z37" s="1"/>
  <c r="AN37"/>
  <c r="N38"/>
  <c r="Q38" s="1"/>
  <c r="F38"/>
  <c r="V38"/>
  <c r="E38"/>
  <c r="R9" i="3"/>
  <c r="R10"/>
  <c r="V37" i="2"/>
  <c r="F37"/>
  <c r="E37"/>
  <c r="AE40"/>
  <c r="I40"/>
  <c r="J40" s="1"/>
  <c r="D40"/>
  <c r="C41"/>
  <c r="K39"/>
  <c r="O39"/>
  <c r="L39"/>
  <c r="P39"/>
  <c r="U39" s="1"/>
  <c r="AC36"/>
  <c r="AC35"/>
  <c r="AP38"/>
  <c r="AQ38"/>
  <c r="AV38" s="1"/>
  <c r="AL38"/>
  <c r="AM38"/>
  <c r="AO36"/>
  <c r="AR36" s="1"/>
  <c r="AS36"/>
  <c r="R11" i="3"/>
  <c r="R13" s="1"/>
  <c r="AC34" i="2"/>
  <c r="AJ39"/>
  <c r="AK39" s="1"/>
  <c r="AV37"/>
  <c r="W38"/>
  <c r="AB37"/>
  <c r="R37"/>
  <c r="R36"/>
  <c r="AB38" l="1"/>
  <c r="AD38"/>
  <c r="AQ39"/>
  <c r="AM39"/>
  <c r="AP39"/>
  <c r="AL39"/>
  <c r="AG38"/>
  <c r="H38" s="1"/>
  <c r="AW38"/>
  <c r="AF38" s="1"/>
  <c r="G38" s="1"/>
  <c r="AC38" s="1"/>
  <c r="V39"/>
  <c r="E39" s="1"/>
  <c r="S5" i="3" s="1"/>
  <c r="F39" i="2"/>
  <c r="S6" i="3" s="1"/>
  <c r="AE41" i="2"/>
  <c r="I41"/>
  <c r="J41" s="1"/>
  <c r="D41"/>
  <c r="C42"/>
  <c r="AJ40"/>
  <c r="AK40" s="1"/>
  <c r="W39"/>
  <c r="AW37"/>
  <c r="AG37" s="1"/>
  <c r="H37" s="1"/>
  <c r="Y38"/>
  <c r="AA38" s="1"/>
  <c r="Z38" s="1"/>
  <c r="AN38"/>
  <c r="P40"/>
  <c r="U40" s="1"/>
  <c r="L40"/>
  <c r="O40"/>
  <c r="W40" s="1"/>
  <c r="K40"/>
  <c r="M40" s="1"/>
  <c r="AS37"/>
  <c r="AO37"/>
  <c r="AR37" s="1"/>
  <c r="M39"/>
  <c r="R38"/>
  <c r="S7" i="3" l="1"/>
  <c r="S8"/>
  <c r="AD40" i="2"/>
  <c r="AB39"/>
  <c r="AD39"/>
  <c r="AP40"/>
  <c r="AL40"/>
  <c r="AM40"/>
  <c r="AQ40"/>
  <c r="I42"/>
  <c r="J42" s="1"/>
  <c r="D42"/>
  <c r="C43"/>
  <c r="AE42"/>
  <c r="L41"/>
  <c r="K41"/>
  <c r="M41" s="1"/>
  <c r="O41"/>
  <c r="P41"/>
  <c r="U41" s="1"/>
  <c r="Y39"/>
  <c r="AA39" s="1"/>
  <c r="AN39"/>
  <c r="N39"/>
  <c r="Q39" s="1"/>
  <c r="R39"/>
  <c r="V40"/>
  <c r="F40"/>
  <c r="E40"/>
  <c r="R40"/>
  <c r="N40"/>
  <c r="Q40" s="1"/>
  <c r="AO38"/>
  <c r="AR38" s="1"/>
  <c r="AJ41"/>
  <c r="AK41" s="1"/>
  <c r="AF37"/>
  <c r="G37" s="1"/>
  <c r="AC37" s="1"/>
  <c r="AV39"/>
  <c r="S4" i="3" l="1"/>
  <c r="Z39" i="2"/>
  <c r="AP41"/>
  <c r="AL41"/>
  <c r="AM41"/>
  <c r="AQ41"/>
  <c r="AV41" s="1"/>
  <c r="AO39"/>
  <c r="AR39" s="1"/>
  <c r="AS39"/>
  <c r="V41"/>
  <c r="E41" s="1"/>
  <c r="N41"/>
  <c r="Q41" s="1"/>
  <c r="C44"/>
  <c r="I43"/>
  <c r="J43" s="1"/>
  <c r="AE43"/>
  <c r="D43"/>
  <c r="K42"/>
  <c r="O42"/>
  <c r="L42"/>
  <c r="P42"/>
  <c r="U42" s="1"/>
  <c r="S10" i="3"/>
  <c r="S9"/>
  <c r="AW39" i="2"/>
  <c r="AG39"/>
  <c r="H39" s="1"/>
  <c r="S12" i="3" s="1"/>
  <c r="AF39" i="2"/>
  <c r="G39" s="1"/>
  <c r="AJ42"/>
  <c r="AK42" s="1"/>
  <c r="Y40"/>
  <c r="AA40" s="1"/>
  <c r="Z40" s="1"/>
  <c r="AN40"/>
  <c r="AS38"/>
  <c r="W41"/>
  <c r="AV40"/>
  <c r="AB40"/>
  <c r="AW40" l="1"/>
  <c r="AF40" s="1"/>
  <c r="G40" s="1"/>
  <c r="AC40" s="1"/>
  <c r="AG40"/>
  <c r="H40" s="1"/>
  <c r="AB41"/>
  <c r="AD41"/>
  <c r="AO40"/>
  <c r="AR40" s="1"/>
  <c r="S11" i="3"/>
  <c r="S13" s="1"/>
  <c r="AC39" i="2"/>
  <c r="K43"/>
  <c r="M43" s="1"/>
  <c r="L43"/>
  <c r="P43"/>
  <c r="U43" s="1"/>
  <c r="O43"/>
  <c r="M42"/>
  <c r="R41"/>
  <c r="F41"/>
  <c r="AM42"/>
  <c r="AQ42"/>
  <c r="AV42" s="1"/>
  <c r="AP42"/>
  <c r="AL42"/>
  <c r="V42"/>
  <c r="F42"/>
  <c r="E42"/>
  <c r="AJ43"/>
  <c r="AK43" s="1"/>
  <c r="AE44"/>
  <c r="I44"/>
  <c r="J44" s="1"/>
  <c r="D44"/>
  <c r="T3" i="3" s="1"/>
  <c r="C45" i="2"/>
  <c r="AW41"/>
  <c r="AG41"/>
  <c r="H41" s="1"/>
  <c r="AF41"/>
  <c r="G41" s="1"/>
  <c r="AC41" s="1"/>
  <c r="Y41"/>
  <c r="AA41" s="1"/>
  <c r="Z41" s="1"/>
  <c r="AN41"/>
  <c r="W42"/>
  <c r="AD42" l="1"/>
  <c r="AB42"/>
  <c r="AJ44"/>
  <c r="AK44" s="1"/>
  <c r="AL43"/>
  <c r="AM43"/>
  <c r="AP43"/>
  <c r="AQ43"/>
  <c r="AV43" s="1"/>
  <c r="Y42"/>
  <c r="AA42" s="1"/>
  <c r="Z42" s="1"/>
  <c r="AN42"/>
  <c r="AW42"/>
  <c r="AG42" s="1"/>
  <c r="H42" s="1"/>
  <c r="N42"/>
  <c r="Q42" s="1"/>
  <c r="V43"/>
  <c r="F43" s="1"/>
  <c r="E43"/>
  <c r="N43"/>
  <c r="Q43" s="1"/>
  <c r="R43"/>
  <c r="AO41"/>
  <c r="AR41" s="1"/>
  <c r="AS41"/>
  <c r="C46"/>
  <c r="I45"/>
  <c r="J45" s="1"/>
  <c r="AE45"/>
  <c r="D45"/>
  <c r="L44"/>
  <c r="O44"/>
  <c r="K44"/>
  <c r="M44" s="1"/>
  <c r="P44"/>
  <c r="U44" s="1"/>
  <c r="W43"/>
  <c r="AS40"/>
  <c r="N44" l="1"/>
  <c r="Q44" s="1"/>
  <c r="AO42"/>
  <c r="AR42" s="1"/>
  <c r="AW43"/>
  <c r="AF43" s="1"/>
  <c r="G43" s="1"/>
  <c r="AC43" s="1"/>
  <c r="AG43"/>
  <c r="H43" s="1"/>
  <c r="AL44"/>
  <c r="AM44"/>
  <c r="AQ44"/>
  <c r="AP44"/>
  <c r="AD43"/>
  <c r="AB43"/>
  <c r="AJ45"/>
  <c r="AK45" s="1"/>
  <c r="V44"/>
  <c r="F44" s="1"/>
  <c r="T6" i="3" s="1"/>
  <c r="L45" i="2"/>
  <c r="O45"/>
  <c r="W45" s="1"/>
  <c r="P45"/>
  <c r="K45"/>
  <c r="M45" s="1"/>
  <c r="D46"/>
  <c r="C47"/>
  <c r="I46"/>
  <c r="J46" s="1"/>
  <c r="AE46"/>
  <c r="AN43"/>
  <c r="Y43"/>
  <c r="AA43" s="1"/>
  <c r="Z43" s="1"/>
  <c r="W44"/>
  <c r="R42"/>
  <c r="AF42"/>
  <c r="G42" s="1"/>
  <c r="AC42" s="1"/>
  <c r="AB44" l="1"/>
  <c r="AD44"/>
  <c r="AO43"/>
  <c r="AR43" s="1"/>
  <c r="AS43"/>
  <c r="AJ46"/>
  <c r="AK46" s="1"/>
  <c r="D47"/>
  <c r="AE47"/>
  <c r="I47"/>
  <c r="J47" s="1"/>
  <c r="C48"/>
  <c r="AD45"/>
  <c r="AP45"/>
  <c r="AL45"/>
  <c r="AQ45"/>
  <c r="AV45" s="1"/>
  <c r="AM45"/>
  <c r="E44"/>
  <c r="T5" i="3" s="1"/>
  <c r="N45" i="2"/>
  <c r="Q45" s="1"/>
  <c r="L46"/>
  <c r="K46"/>
  <c r="P46"/>
  <c r="U46" s="1"/>
  <c r="O46"/>
  <c r="Y44"/>
  <c r="AA44" s="1"/>
  <c r="AN44"/>
  <c r="U45"/>
  <c r="AV44"/>
  <c r="AS42"/>
  <c r="R44"/>
  <c r="T4" i="3" l="1"/>
  <c r="Z44" i="2"/>
  <c r="V45"/>
  <c r="F45" s="1"/>
  <c r="F46"/>
  <c r="V46"/>
  <c r="E46" s="1"/>
  <c r="AN45"/>
  <c r="Y45"/>
  <c r="AA45" s="1"/>
  <c r="Z45" s="1"/>
  <c r="L47"/>
  <c r="O47"/>
  <c r="P47"/>
  <c r="U47" s="1"/>
  <c r="K47"/>
  <c r="M47" s="1"/>
  <c r="AJ47"/>
  <c r="AK47" s="1"/>
  <c r="AF44"/>
  <c r="G44" s="1"/>
  <c r="AW44"/>
  <c r="AG44"/>
  <c r="H44" s="1"/>
  <c r="T12" i="3" s="1"/>
  <c r="AO44" i="2"/>
  <c r="AR44" s="1"/>
  <c r="AS44"/>
  <c r="T8" i="3"/>
  <c r="T7"/>
  <c r="AW45" i="2"/>
  <c r="AF45" s="1"/>
  <c r="AG45"/>
  <c r="C49"/>
  <c r="I48"/>
  <c r="J48" s="1"/>
  <c r="AE48"/>
  <c r="D48"/>
  <c r="AQ46"/>
  <c r="AV46" s="1"/>
  <c r="AL46"/>
  <c r="AM46"/>
  <c r="AP46"/>
  <c r="W46"/>
  <c r="M46"/>
  <c r="R45"/>
  <c r="AB45"/>
  <c r="N46" l="1"/>
  <c r="Q46" s="1"/>
  <c r="R46"/>
  <c r="AN46"/>
  <c r="Y46"/>
  <c r="AJ48"/>
  <c r="AK48" s="1"/>
  <c r="D49"/>
  <c r="U3" i="3" s="1"/>
  <c r="C50" i="2"/>
  <c r="AE49"/>
  <c r="I49"/>
  <c r="J49" s="1"/>
  <c r="T10" i="3"/>
  <c r="T9"/>
  <c r="T11"/>
  <c r="T13" s="1"/>
  <c r="AC44" i="2"/>
  <c r="AP47"/>
  <c r="AL47"/>
  <c r="AQ47"/>
  <c r="AV47" s="1"/>
  <c r="AM47"/>
  <c r="E47"/>
  <c r="V47"/>
  <c r="F47"/>
  <c r="AO45"/>
  <c r="AR45" s="1"/>
  <c r="AS45"/>
  <c r="E45"/>
  <c r="G45" s="1"/>
  <c r="AC45" s="1"/>
  <c r="AA46"/>
  <c r="Z46" s="1"/>
  <c r="AB46"/>
  <c r="AD46"/>
  <c r="AW46"/>
  <c r="AF46" s="1"/>
  <c r="G46" s="1"/>
  <c r="O48"/>
  <c r="L48"/>
  <c r="P48"/>
  <c r="U48" s="1"/>
  <c r="K48"/>
  <c r="M48" s="1"/>
  <c r="R47"/>
  <c r="N47"/>
  <c r="Q47" s="1"/>
  <c r="H45"/>
  <c r="W47"/>
  <c r="V48" l="1"/>
  <c r="E48" s="1"/>
  <c r="AG47"/>
  <c r="H47" s="1"/>
  <c r="AW47"/>
  <c r="AF47"/>
  <c r="G47" s="1"/>
  <c r="K49"/>
  <c r="P49"/>
  <c r="L49"/>
  <c r="O49"/>
  <c r="W49" s="1"/>
  <c r="D50"/>
  <c r="I50"/>
  <c r="J50" s="1"/>
  <c r="C51"/>
  <c r="AE50"/>
  <c r="W48"/>
  <c r="AD47"/>
  <c r="AA47"/>
  <c r="Z47" s="1"/>
  <c r="AB47"/>
  <c r="N48"/>
  <c r="Q48" s="1"/>
  <c r="AN47"/>
  <c r="Y47"/>
  <c r="AJ49"/>
  <c r="AK49" s="1"/>
  <c r="AL48"/>
  <c r="AM48"/>
  <c r="AQ48"/>
  <c r="AV48" s="1"/>
  <c r="AP48"/>
  <c r="AO46"/>
  <c r="AR46" s="1"/>
  <c r="AG46"/>
  <c r="H46" s="1"/>
  <c r="AC46" s="1"/>
  <c r="Y48" l="1"/>
  <c r="AN48"/>
  <c r="AB48"/>
  <c r="AD48"/>
  <c r="AA48"/>
  <c r="Z48" s="1"/>
  <c r="K50"/>
  <c r="P50"/>
  <c r="U50" s="1"/>
  <c r="O50"/>
  <c r="L50"/>
  <c r="AD49"/>
  <c r="U49"/>
  <c r="AC47"/>
  <c r="AF48"/>
  <c r="G48" s="1"/>
  <c r="AW48"/>
  <c r="AG48"/>
  <c r="AP49"/>
  <c r="AQ49"/>
  <c r="AV49" s="1"/>
  <c r="AM49"/>
  <c r="AL49"/>
  <c r="AO47"/>
  <c r="AR47" s="1"/>
  <c r="AS47"/>
  <c r="AJ50"/>
  <c r="AK50" s="1"/>
  <c r="D51"/>
  <c r="I51"/>
  <c r="J51" s="1"/>
  <c r="AE51"/>
  <c r="C52"/>
  <c r="AS46"/>
  <c r="R48"/>
  <c r="M49"/>
  <c r="F48"/>
  <c r="O51" l="1"/>
  <c r="K51"/>
  <c r="P51"/>
  <c r="U51" s="1"/>
  <c r="L51"/>
  <c r="AN49"/>
  <c r="Y49"/>
  <c r="AA49" s="1"/>
  <c r="AW49"/>
  <c r="AF49" s="1"/>
  <c r="G49" s="1"/>
  <c r="AG49"/>
  <c r="F49"/>
  <c r="U6" i="3" s="1"/>
  <c r="V49" i="2"/>
  <c r="E49" s="1"/>
  <c r="U5" i="3" s="1"/>
  <c r="V50" i="2"/>
  <c r="E50" s="1"/>
  <c r="F50"/>
  <c r="H48"/>
  <c r="AC48"/>
  <c r="N49"/>
  <c r="Q49" s="1"/>
  <c r="R49"/>
  <c r="I52"/>
  <c r="J52" s="1"/>
  <c r="C53"/>
  <c r="AE52"/>
  <c r="D52"/>
  <c r="AJ51"/>
  <c r="AK51" s="1"/>
  <c r="AM50"/>
  <c r="AQ50"/>
  <c r="AL50"/>
  <c r="AP50"/>
  <c r="AO48"/>
  <c r="AR48" s="1"/>
  <c r="AB49"/>
  <c r="W50"/>
  <c r="M50"/>
  <c r="U11" i="3" l="1"/>
  <c r="U8"/>
  <c r="U7"/>
  <c r="AQ51" i="2"/>
  <c r="AV51" s="1"/>
  <c r="AL51"/>
  <c r="AM51"/>
  <c r="AP51"/>
  <c r="AJ52"/>
  <c r="AK52" s="1"/>
  <c r="AE53"/>
  <c r="D53"/>
  <c r="I53"/>
  <c r="J53" s="1"/>
  <c r="C54"/>
  <c r="AO49"/>
  <c r="AR49" s="1"/>
  <c r="AS49"/>
  <c r="V51"/>
  <c r="E51"/>
  <c r="F51"/>
  <c r="H49"/>
  <c r="U12" i="3" s="1"/>
  <c r="W51" i="2"/>
  <c r="N50"/>
  <c r="Q50" s="1"/>
  <c r="AN50"/>
  <c r="Y50"/>
  <c r="AD50"/>
  <c r="AA50"/>
  <c r="Z50" s="1"/>
  <c r="AB50"/>
  <c r="L52"/>
  <c r="O52"/>
  <c r="K52"/>
  <c r="M52" s="1"/>
  <c r="P52"/>
  <c r="U52" s="1"/>
  <c r="Z49"/>
  <c r="U4" i="3"/>
  <c r="AS48" i="2"/>
  <c r="AV50"/>
  <c r="M51"/>
  <c r="V52" l="1"/>
  <c r="E52" s="1"/>
  <c r="AO50"/>
  <c r="AR50" s="1"/>
  <c r="AE54"/>
  <c r="D54"/>
  <c r="V3" i="3" s="1"/>
  <c r="I54" i="2"/>
  <c r="J54" s="1"/>
  <c r="C55"/>
  <c r="AJ53"/>
  <c r="AK53" s="1"/>
  <c r="AM52"/>
  <c r="AL52"/>
  <c r="AP52"/>
  <c r="AQ52"/>
  <c r="AV52" s="1"/>
  <c r="AW51"/>
  <c r="AF51"/>
  <c r="G51" s="1"/>
  <c r="AG51"/>
  <c r="H51" s="1"/>
  <c r="W52"/>
  <c r="U13" i="3"/>
  <c r="AF50" i="2"/>
  <c r="G50" s="1"/>
  <c r="AW50"/>
  <c r="AG50"/>
  <c r="H50" s="1"/>
  <c r="N51"/>
  <c r="Q51" s="1"/>
  <c r="R51"/>
  <c r="N52"/>
  <c r="Q52" s="1"/>
  <c r="AD51"/>
  <c r="AB51"/>
  <c r="L53"/>
  <c r="K53"/>
  <c r="O53"/>
  <c r="W53" s="1"/>
  <c r="P53"/>
  <c r="AN51"/>
  <c r="Y51"/>
  <c r="AA51" s="1"/>
  <c r="Z51" s="1"/>
  <c r="U10" i="3"/>
  <c r="U9"/>
  <c r="R50" i="2"/>
  <c r="AC49"/>
  <c r="AO51" l="1"/>
  <c r="AR51" s="1"/>
  <c r="AP53"/>
  <c r="AL53"/>
  <c r="AQ53"/>
  <c r="AV53" s="1"/>
  <c r="AM53"/>
  <c r="I55"/>
  <c r="J55" s="1"/>
  <c r="C56"/>
  <c r="D55"/>
  <c r="AE55"/>
  <c r="U53"/>
  <c r="M53"/>
  <c r="R52"/>
  <c r="AS50"/>
  <c r="F52"/>
  <c r="AB53"/>
  <c r="AD53"/>
  <c r="AB52"/>
  <c r="AD52"/>
  <c r="AG52"/>
  <c r="H52" s="1"/>
  <c r="AW52"/>
  <c r="AF52"/>
  <c r="G52" s="1"/>
  <c r="AC52" s="1"/>
  <c r="AN52"/>
  <c r="Y52"/>
  <c r="AA52" s="1"/>
  <c r="Z52" s="1"/>
  <c r="O54"/>
  <c r="P54"/>
  <c r="U54" s="1"/>
  <c r="L54"/>
  <c r="K54"/>
  <c r="M54" s="1"/>
  <c r="AJ54"/>
  <c r="AK54" s="1"/>
  <c r="AC50"/>
  <c r="AC51"/>
  <c r="V54" l="1"/>
  <c r="F54" s="1"/>
  <c r="V6" i="3" s="1"/>
  <c r="E54" i="2"/>
  <c r="V5" i="3" s="1"/>
  <c r="N53" i="2"/>
  <c r="Q53" s="1"/>
  <c r="R53"/>
  <c r="O55"/>
  <c r="L55"/>
  <c r="K55"/>
  <c r="P55"/>
  <c r="U55" s="1"/>
  <c r="AW53"/>
  <c r="AG53"/>
  <c r="AF53"/>
  <c r="N54"/>
  <c r="Q54" s="1"/>
  <c r="AP54"/>
  <c r="AQ54"/>
  <c r="AM54"/>
  <c r="AL54"/>
  <c r="AO52"/>
  <c r="AR52" s="1"/>
  <c r="V53"/>
  <c r="E53" s="1"/>
  <c r="F53"/>
  <c r="AJ55"/>
  <c r="AK55" s="1"/>
  <c r="C57"/>
  <c r="D56"/>
  <c r="AE56"/>
  <c r="I56"/>
  <c r="J56" s="1"/>
  <c r="AN53"/>
  <c r="Y53"/>
  <c r="AA53" s="1"/>
  <c r="Z53" s="1"/>
  <c r="W54"/>
  <c r="AS51"/>
  <c r="AB54" l="1"/>
  <c r="AD54"/>
  <c r="AO53"/>
  <c r="AR53" s="1"/>
  <c r="AS53"/>
  <c r="AJ56"/>
  <c r="AK56" s="1"/>
  <c r="V55"/>
  <c r="F55" s="1"/>
  <c r="E55"/>
  <c r="V7" i="3"/>
  <c r="V8"/>
  <c r="H53" i="2"/>
  <c r="K56"/>
  <c r="O56"/>
  <c r="L56"/>
  <c r="P56"/>
  <c r="U56" s="1"/>
  <c r="C58"/>
  <c r="AE57"/>
  <c r="I57"/>
  <c r="J57" s="1"/>
  <c r="D57"/>
  <c r="AQ55"/>
  <c r="AP55"/>
  <c r="AL55"/>
  <c r="AM55"/>
  <c r="Y54"/>
  <c r="AA54" s="1"/>
  <c r="AN54"/>
  <c r="AS52"/>
  <c r="AV54"/>
  <c r="R54"/>
  <c r="G53"/>
  <c r="AC53" s="1"/>
  <c r="M55"/>
  <c r="W55"/>
  <c r="Z54" l="1"/>
  <c r="V4" i="3"/>
  <c r="AW54" i="2"/>
  <c r="AF54" s="1"/>
  <c r="G54" s="1"/>
  <c r="AG54"/>
  <c r="H54" s="1"/>
  <c r="V12" i="3" s="1"/>
  <c r="AO54" i="2"/>
  <c r="AR54" s="1"/>
  <c r="AS54"/>
  <c r="N55"/>
  <c r="Q55" s="1"/>
  <c r="R55"/>
  <c r="AN55"/>
  <c r="Y55"/>
  <c r="AJ57"/>
  <c r="AK57" s="1"/>
  <c r="V56"/>
  <c r="E56" s="1"/>
  <c r="V9" i="3"/>
  <c r="V10"/>
  <c r="AV55" i="2"/>
  <c r="W56"/>
  <c r="AA55"/>
  <c r="Z55" s="1"/>
  <c r="AD55"/>
  <c r="AB55"/>
  <c r="P57"/>
  <c r="L57"/>
  <c r="O57"/>
  <c r="W57" s="1"/>
  <c r="K57"/>
  <c r="M57" s="1"/>
  <c r="I58"/>
  <c r="J58" s="1"/>
  <c r="AE58"/>
  <c r="D58"/>
  <c r="C59"/>
  <c r="AQ56"/>
  <c r="AV56" s="1"/>
  <c r="AM56"/>
  <c r="AP56"/>
  <c r="AL56"/>
  <c r="M56"/>
  <c r="V11" i="3" l="1"/>
  <c r="V13" s="1"/>
  <c r="AC54" i="2"/>
  <c r="AW56"/>
  <c r="AG56" s="1"/>
  <c r="H56" s="1"/>
  <c r="AF56"/>
  <c r="G56" s="1"/>
  <c r="AJ58"/>
  <c r="AK58" s="1"/>
  <c r="N57"/>
  <c r="Q57" s="1"/>
  <c r="R57"/>
  <c r="AW55"/>
  <c r="AF55" s="1"/>
  <c r="G55" s="1"/>
  <c r="N56"/>
  <c r="Q56" s="1"/>
  <c r="AN56"/>
  <c r="Y56"/>
  <c r="D59"/>
  <c r="W3" i="3" s="1"/>
  <c r="C60" i="2"/>
  <c r="I59"/>
  <c r="J59" s="1"/>
  <c r="AE59"/>
  <c r="L58"/>
  <c r="K58"/>
  <c r="M58" s="1"/>
  <c r="P58"/>
  <c r="O58"/>
  <c r="W58" s="1"/>
  <c r="AD57"/>
  <c r="AB56"/>
  <c r="AD56"/>
  <c r="AA56"/>
  <c r="Z56" s="1"/>
  <c r="AP57"/>
  <c r="AM57"/>
  <c r="AL57"/>
  <c r="AQ57"/>
  <c r="AV57" s="1"/>
  <c r="AO55"/>
  <c r="AR55" s="1"/>
  <c r="AS55"/>
  <c r="U57"/>
  <c r="F56"/>
  <c r="AD58" l="1"/>
  <c r="N58"/>
  <c r="Q58" s="1"/>
  <c r="K59"/>
  <c r="O59"/>
  <c r="L59"/>
  <c r="P59"/>
  <c r="U59" s="1"/>
  <c r="AO56"/>
  <c r="AR56" s="1"/>
  <c r="AC56"/>
  <c r="AW57"/>
  <c r="AF57" s="1"/>
  <c r="G57" s="1"/>
  <c r="V57"/>
  <c r="F57" s="1"/>
  <c r="E57"/>
  <c r="Y57"/>
  <c r="AA57" s="1"/>
  <c r="Z57" s="1"/>
  <c r="AN57"/>
  <c r="AJ59"/>
  <c r="AK59" s="1"/>
  <c r="I60"/>
  <c r="J60" s="1"/>
  <c r="D60"/>
  <c r="C61"/>
  <c r="AE60"/>
  <c r="AQ58"/>
  <c r="AV58" s="1"/>
  <c r="AL58"/>
  <c r="AM58"/>
  <c r="AP58"/>
  <c r="AB57"/>
  <c r="U58"/>
  <c r="R56"/>
  <c r="AG55"/>
  <c r="H55" s="1"/>
  <c r="AC55" s="1"/>
  <c r="AW58" l="1"/>
  <c r="AF58"/>
  <c r="AG58"/>
  <c r="I61"/>
  <c r="J61" s="1"/>
  <c r="AE61"/>
  <c r="D61"/>
  <c r="C62"/>
  <c r="AO57"/>
  <c r="AR57" s="1"/>
  <c r="AS57"/>
  <c r="M59"/>
  <c r="V58"/>
  <c r="E58" s="1"/>
  <c r="F58"/>
  <c r="AN58"/>
  <c r="Y58"/>
  <c r="AA58" s="1"/>
  <c r="Z58" s="1"/>
  <c r="AJ60"/>
  <c r="AK60" s="1"/>
  <c r="P60"/>
  <c r="L60"/>
  <c r="O60"/>
  <c r="W60" s="1"/>
  <c r="K60"/>
  <c r="M60" s="1"/>
  <c r="AP59"/>
  <c r="AL59"/>
  <c r="AQ59"/>
  <c r="AV59" s="1"/>
  <c r="AM59"/>
  <c r="V59"/>
  <c r="F59"/>
  <c r="W6" i="3" s="1"/>
  <c r="E59" i="2"/>
  <c r="W5" i="3" s="1"/>
  <c r="AG57" i="2"/>
  <c r="H57" s="1"/>
  <c r="AC57" s="1"/>
  <c r="AS56"/>
  <c r="W59"/>
  <c r="R58"/>
  <c r="AB58"/>
  <c r="AB59" l="1"/>
  <c r="AD59"/>
  <c r="AN59"/>
  <c r="Y59"/>
  <c r="AA59" s="1"/>
  <c r="N60"/>
  <c r="Q60" s="1"/>
  <c r="R60"/>
  <c r="P61"/>
  <c r="O61"/>
  <c r="W61" s="1"/>
  <c r="K61"/>
  <c r="L61"/>
  <c r="G58"/>
  <c r="W7" i="3"/>
  <c r="W8"/>
  <c r="AW59" i="2"/>
  <c r="AG59" s="1"/>
  <c r="H59" s="1"/>
  <c r="W12" i="3" s="1"/>
  <c r="AD60" i="2"/>
  <c r="AP60"/>
  <c r="AQ60"/>
  <c r="AM60"/>
  <c r="AL60"/>
  <c r="AO58"/>
  <c r="AR58" s="1"/>
  <c r="AS58"/>
  <c r="N59"/>
  <c r="Q59" s="1"/>
  <c r="D62"/>
  <c r="I62"/>
  <c r="J62" s="1"/>
  <c r="AE62"/>
  <c r="C63"/>
  <c r="AJ61"/>
  <c r="AK61" s="1"/>
  <c r="U60"/>
  <c r="H58"/>
  <c r="W4" i="3" l="1"/>
  <c r="Z59" i="2"/>
  <c r="AL61"/>
  <c r="AP61"/>
  <c r="AQ61"/>
  <c r="AV61" s="1"/>
  <c r="AM61"/>
  <c r="AJ62"/>
  <c r="AK62" s="1"/>
  <c r="W9" i="3"/>
  <c r="W10"/>
  <c r="AB61" i="2"/>
  <c r="AD61"/>
  <c r="AF59"/>
  <c r="G59" s="1"/>
  <c r="F60"/>
  <c r="V60"/>
  <c r="E60"/>
  <c r="C64"/>
  <c r="I63"/>
  <c r="J63" s="1"/>
  <c r="AE63"/>
  <c r="D63"/>
  <c r="P62"/>
  <c r="K62"/>
  <c r="O62"/>
  <c r="W62" s="1"/>
  <c r="L62"/>
  <c r="Y60"/>
  <c r="AA60" s="1"/>
  <c r="Z60" s="1"/>
  <c r="AN60"/>
  <c r="AS59"/>
  <c r="AO59"/>
  <c r="AR59" s="1"/>
  <c r="R59"/>
  <c r="AV60"/>
  <c r="AB60"/>
  <c r="AC58"/>
  <c r="M61"/>
  <c r="U61"/>
  <c r="AD62" l="1"/>
  <c r="L63"/>
  <c r="K63"/>
  <c r="M63" s="1"/>
  <c r="P63"/>
  <c r="O63"/>
  <c r="W63" s="1"/>
  <c r="AP62"/>
  <c r="AL62"/>
  <c r="AQ62"/>
  <c r="AV62" s="1"/>
  <c r="AM62"/>
  <c r="AW61"/>
  <c r="AF61" s="1"/>
  <c r="G61" s="1"/>
  <c r="Y61"/>
  <c r="AA61" s="1"/>
  <c r="Z61" s="1"/>
  <c r="AN61"/>
  <c r="U62"/>
  <c r="N61"/>
  <c r="Q61" s="1"/>
  <c r="R61"/>
  <c r="V61"/>
  <c r="F61"/>
  <c r="E61"/>
  <c r="AW60"/>
  <c r="AG60" s="1"/>
  <c r="H60" s="1"/>
  <c r="AF60"/>
  <c r="G60" s="1"/>
  <c r="AO60"/>
  <c r="AR60" s="1"/>
  <c r="AJ63"/>
  <c r="AK63" s="1"/>
  <c r="AE64"/>
  <c r="D64"/>
  <c r="X3" i="3" s="1"/>
  <c r="I64" i="2"/>
  <c r="J64" s="1"/>
  <c r="C65"/>
  <c r="W11" i="3"/>
  <c r="W13" s="1"/>
  <c r="AC59" i="2"/>
  <c r="M62"/>
  <c r="O64" l="1"/>
  <c r="L64"/>
  <c r="K64"/>
  <c r="P64"/>
  <c r="U64" s="1"/>
  <c r="V62"/>
  <c r="F62" s="1"/>
  <c r="AN62"/>
  <c r="Y62"/>
  <c r="AA62" s="1"/>
  <c r="Z62" s="1"/>
  <c r="AD63"/>
  <c r="N63"/>
  <c r="Q63" s="1"/>
  <c r="R63"/>
  <c r="AC60"/>
  <c r="AB62"/>
  <c r="N62"/>
  <c r="Q62" s="1"/>
  <c r="R62"/>
  <c r="D65"/>
  <c r="AE65"/>
  <c r="I65"/>
  <c r="J65" s="1"/>
  <c r="C66"/>
  <c r="AJ64"/>
  <c r="AK64" s="1"/>
  <c r="AQ63"/>
  <c r="AV63" s="1"/>
  <c r="AL63"/>
  <c r="AM63"/>
  <c r="AP63"/>
  <c r="AS61"/>
  <c r="AO61"/>
  <c r="AR61" s="1"/>
  <c r="AG62"/>
  <c r="AW62"/>
  <c r="AF62"/>
  <c r="AS60"/>
  <c r="AG61"/>
  <c r="H61" s="1"/>
  <c r="AC61" s="1"/>
  <c r="U63"/>
  <c r="AW63" l="1"/>
  <c r="AF63" s="1"/>
  <c r="AG63"/>
  <c r="K65"/>
  <c r="L65"/>
  <c r="P65"/>
  <c r="O65"/>
  <c r="W65" s="1"/>
  <c r="AJ65"/>
  <c r="AK65" s="1"/>
  <c r="AO62"/>
  <c r="AR62" s="1"/>
  <c r="AS62"/>
  <c r="V64"/>
  <c r="F64" s="1"/>
  <c r="X6" i="3" s="1"/>
  <c r="V63" i="2"/>
  <c r="E63" s="1"/>
  <c r="Y63"/>
  <c r="AA63" s="1"/>
  <c r="Z63" s="1"/>
  <c r="AN63"/>
  <c r="AP64"/>
  <c r="AM64"/>
  <c r="AQ64"/>
  <c r="AV64" s="1"/>
  <c r="AL64"/>
  <c r="C67"/>
  <c r="D66"/>
  <c r="I66"/>
  <c r="J66" s="1"/>
  <c r="AE66"/>
  <c r="H62"/>
  <c r="AB63"/>
  <c r="E62"/>
  <c r="G62" s="1"/>
  <c r="AC62" s="1"/>
  <c r="M64"/>
  <c r="W64"/>
  <c r="G63" l="1"/>
  <c r="N64"/>
  <c r="Q64" s="1"/>
  <c r="R64"/>
  <c r="AJ66"/>
  <c r="AK66" s="1"/>
  <c r="I67"/>
  <c r="J67" s="1"/>
  <c r="D67"/>
  <c r="C68"/>
  <c r="AE67"/>
  <c r="AF64"/>
  <c r="AW64"/>
  <c r="AG64" s="1"/>
  <c r="H64" s="1"/>
  <c r="X12" i="3" s="1"/>
  <c r="AD65" i="2"/>
  <c r="F63"/>
  <c r="E64"/>
  <c r="X5" i="3" s="1"/>
  <c r="H63" i="2"/>
  <c r="AB64"/>
  <c r="AD64"/>
  <c r="P66"/>
  <c r="L66"/>
  <c r="K66"/>
  <c r="M66" s="1"/>
  <c r="O66"/>
  <c r="W66" s="1"/>
  <c r="Y64"/>
  <c r="AA64" s="1"/>
  <c r="AN64"/>
  <c r="AO63"/>
  <c r="AR63" s="1"/>
  <c r="AS63"/>
  <c r="AM65"/>
  <c r="AL65"/>
  <c r="AB65" s="1"/>
  <c r="AP65"/>
  <c r="AQ65"/>
  <c r="AV65" s="1"/>
  <c r="U65"/>
  <c r="M65"/>
  <c r="Z64" l="1"/>
  <c r="X4" i="3"/>
  <c r="N65" i="2"/>
  <c r="Q65" s="1"/>
  <c r="V65"/>
  <c r="E65" s="1"/>
  <c r="F65"/>
  <c r="N66"/>
  <c r="Q66" s="1"/>
  <c r="R66"/>
  <c r="AJ67"/>
  <c r="AK67" s="1"/>
  <c r="U66"/>
  <c r="AC63"/>
  <c r="AW65"/>
  <c r="AG65" s="1"/>
  <c r="H65" s="1"/>
  <c r="AN65"/>
  <c r="Y65"/>
  <c r="AA65" s="1"/>
  <c r="Z65" s="1"/>
  <c r="AO64"/>
  <c r="AR64" s="1"/>
  <c r="AD66"/>
  <c r="X8" i="3"/>
  <c r="X7"/>
  <c r="I68" i="2"/>
  <c r="J68" s="1"/>
  <c r="D68"/>
  <c r="C69"/>
  <c r="AE68"/>
  <c r="K67"/>
  <c r="M67" s="1"/>
  <c r="O67"/>
  <c r="P67"/>
  <c r="U67" s="1"/>
  <c r="L67"/>
  <c r="AL66"/>
  <c r="AB66" s="1"/>
  <c r="AP66"/>
  <c r="AM66"/>
  <c r="AQ66"/>
  <c r="AV66" s="1"/>
  <c r="G64"/>
  <c r="V67" l="1"/>
  <c r="F67" s="1"/>
  <c r="E67"/>
  <c r="N67"/>
  <c r="Q67" s="1"/>
  <c r="R67"/>
  <c r="AJ68"/>
  <c r="AK68" s="1"/>
  <c r="X10" i="3"/>
  <c r="X9"/>
  <c r="AO65" i="2"/>
  <c r="AR65" s="1"/>
  <c r="AC64"/>
  <c r="X11" i="3"/>
  <c r="X13" s="1"/>
  <c r="AN66" i="2"/>
  <c r="Y66"/>
  <c r="AA66" s="1"/>
  <c r="Z66" s="1"/>
  <c r="AW66"/>
  <c r="AF66" s="1"/>
  <c r="G66" s="1"/>
  <c r="I69"/>
  <c r="J69" s="1"/>
  <c r="D69"/>
  <c r="Y3" i="3" s="1"/>
  <c r="C70" i="2"/>
  <c r="AE69"/>
  <c r="O68"/>
  <c r="P68"/>
  <c r="U68" s="1"/>
  <c r="L68"/>
  <c r="K68"/>
  <c r="M68" s="1"/>
  <c r="E66"/>
  <c r="V66"/>
  <c r="F66" s="1"/>
  <c r="AM67"/>
  <c r="AP67"/>
  <c r="AL67"/>
  <c r="AQ67"/>
  <c r="AV67" s="1"/>
  <c r="W67"/>
  <c r="AS64"/>
  <c r="AF65"/>
  <c r="G65" s="1"/>
  <c r="AC65" s="1"/>
  <c r="R65"/>
  <c r="AD67" l="1"/>
  <c r="AB67"/>
  <c r="Y67"/>
  <c r="AA67" s="1"/>
  <c r="Z67" s="1"/>
  <c r="AN67"/>
  <c r="N68"/>
  <c r="Q68" s="1"/>
  <c r="V68"/>
  <c r="F68" s="1"/>
  <c r="E68"/>
  <c r="C71"/>
  <c r="D70"/>
  <c r="I70"/>
  <c r="J70" s="1"/>
  <c r="AE70"/>
  <c r="P69"/>
  <c r="U69" s="1"/>
  <c r="O69"/>
  <c r="K69"/>
  <c r="M69" s="1"/>
  <c r="L69"/>
  <c r="AS65"/>
  <c r="AF67"/>
  <c r="G67" s="1"/>
  <c r="AW67"/>
  <c r="AG67" s="1"/>
  <c r="H67" s="1"/>
  <c r="AJ69"/>
  <c r="AK69" s="1"/>
  <c r="AO66"/>
  <c r="AR66" s="1"/>
  <c r="AP68"/>
  <c r="AL68"/>
  <c r="AQ68"/>
  <c r="AV68" s="1"/>
  <c r="AM68"/>
  <c r="W68"/>
  <c r="AG66"/>
  <c r="H66" s="1"/>
  <c r="AC66" s="1"/>
  <c r="AD68" l="1"/>
  <c r="AB68"/>
  <c r="AP69"/>
  <c r="AM69"/>
  <c r="AQ69"/>
  <c r="AV69" s="1"/>
  <c r="AL69"/>
  <c r="N69"/>
  <c r="Q69" s="1"/>
  <c r="R69"/>
  <c r="V69"/>
  <c r="F69" s="1"/>
  <c r="Y6" i="3" s="1"/>
  <c r="E69" i="2"/>
  <c r="Y5" i="3" s="1"/>
  <c r="K70" i="2"/>
  <c r="P70"/>
  <c r="U70" s="1"/>
  <c r="O70"/>
  <c r="W70" s="1"/>
  <c r="L70"/>
  <c r="AW68"/>
  <c r="AF68"/>
  <c r="G68" s="1"/>
  <c r="AC68" s="1"/>
  <c r="AG68"/>
  <c r="H68" s="1"/>
  <c r="Y68"/>
  <c r="AA68" s="1"/>
  <c r="Z68" s="1"/>
  <c r="AN68"/>
  <c r="AJ70"/>
  <c r="AK70" s="1"/>
  <c r="I71"/>
  <c r="J71" s="1"/>
  <c r="C72"/>
  <c r="AE71"/>
  <c r="D71"/>
  <c r="AO67"/>
  <c r="AR67" s="1"/>
  <c r="AS67"/>
  <c r="AC67"/>
  <c r="AS66"/>
  <c r="W69"/>
  <c r="R68"/>
  <c r="AJ71" l="1"/>
  <c r="AK71" s="1"/>
  <c r="AB69"/>
  <c r="AD69"/>
  <c r="I72"/>
  <c r="J72" s="1"/>
  <c r="D72"/>
  <c r="C73"/>
  <c r="AE72"/>
  <c r="AO68"/>
  <c r="AR68" s="1"/>
  <c r="AS68"/>
  <c r="AD70"/>
  <c r="AN69"/>
  <c r="Y69"/>
  <c r="AA69" s="1"/>
  <c r="M70"/>
  <c r="L71"/>
  <c r="O71"/>
  <c r="K71"/>
  <c r="M71" s="1"/>
  <c r="P71"/>
  <c r="U71" s="1"/>
  <c r="AQ70"/>
  <c r="AP70"/>
  <c r="AM70"/>
  <c r="AL70"/>
  <c r="AB70" s="1"/>
  <c r="V70"/>
  <c r="E70" s="1"/>
  <c r="Y7" i="3"/>
  <c r="Y8"/>
  <c r="AW69" i="2"/>
  <c r="AG69" s="1"/>
  <c r="H69" s="1"/>
  <c r="Y12" i="3" s="1"/>
  <c r="Y4" l="1"/>
  <c r="Z69" i="2"/>
  <c r="N71"/>
  <c r="Q71" s="1"/>
  <c r="AJ72"/>
  <c r="AK72" s="1"/>
  <c r="AF69"/>
  <c r="G69" s="1"/>
  <c r="F70"/>
  <c r="AV70"/>
  <c r="Y9" i="3"/>
  <c r="Y10"/>
  <c r="Y70" i="2"/>
  <c r="AA70" s="1"/>
  <c r="Z70" s="1"/>
  <c r="AN70"/>
  <c r="F71"/>
  <c r="V71"/>
  <c r="E71" s="1"/>
  <c r="N70"/>
  <c r="Q70" s="1"/>
  <c r="AO69"/>
  <c r="AR69" s="1"/>
  <c r="AE73"/>
  <c r="D73"/>
  <c r="I73"/>
  <c r="J73" s="1"/>
  <c r="C74"/>
  <c r="P72"/>
  <c r="O72"/>
  <c r="W72" s="1"/>
  <c r="L72"/>
  <c r="K72"/>
  <c r="M72" s="1"/>
  <c r="AP71"/>
  <c r="AM71"/>
  <c r="AQ71"/>
  <c r="AV71" s="1"/>
  <c r="AL71"/>
  <c r="W71"/>
  <c r="Y71" l="1"/>
  <c r="AN71"/>
  <c r="N72"/>
  <c r="Q72" s="1"/>
  <c r="R72"/>
  <c r="AD72"/>
  <c r="I74"/>
  <c r="J74" s="1"/>
  <c r="C75"/>
  <c r="D74"/>
  <c r="Z3" i="3" s="1"/>
  <c r="AE74" i="2"/>
  <c r="AJ73"/>
  <c r="AK73" s="1"/>
  <c r="AO70"/>
  <c r="AR70" s="1"/>
  <c r="AS70"/>
  <c r="AW70"/>
  <c r="AG70" s="1"/>
  <c r="H70" s="1"/>
  <c r="AC69"/>
  <c r="Y11" i="3"/>
  <c r="Y13" s="1"/>
  <c r="AQ72" i="2"/>
  <c r="AM72"/>
  <c r="AP72"/>
  <c r="AL72"/>
  <c r="AB71"/>
  <c r="AD71"/>
  <c r="AA71"/>
  <c r="Z71" s="1"/>
  <c r="AW71"/>
  <c r="AG71"/>
  <c r="H71" s="1"/>
  <c r="AF71"/>
  <c r="G71" s="1"/>
  <c r="P73"/>
  <c r="U73" s="1"/>
  <c r="K73"/>
  <c r="O73"/>
  <c r="W73" s="1"/>
  <c r="L73"/>
  <c r="U72"/>
  <c r="AS69"/>
  <c r="R70"/>
  <c r="R71"/>
  <c r="V72" l="1"/>
  <c r="F72" s="1"/>
  <c r="AD73"/>
  <c r="AN72"/>
  <c r="Y72"/>
  <c r="AA72" s="1"/>
  <c r="Z72" s="1"/>
  <c r="AJ74"/>
  <c r="AK74" s="1"/>
  <c r="I75"/>
  <c r="J75" s="1"/>
  <c r="D75"/>
  <c r="AE75"/>
  <c r="C76"/>
  <c r="M73"/>
  <c r="AC71"/>
  <c r="AF70"/>
  <c r="G70" s="1"/>
  <c r="AC70" s="1"/>
  <c r="AB72"/>
  <c r="F73"/>
  <c r="V73"/>
  <c r="E73" s="1"/>
  <c r="AL73"/>
  <c r="AM73"/>
  <c r="AQ73"/>
  <c r="AV73" s="1"/>
  <c r="AP73"/>
  <c r="L74"/>
  <c r="P74"/>
  <c r="O74"/>
  <c r="W74" s="1"/>
  <c r="K74"/>
  <c r="AO71"/>
  <c r="AR71" s="1"/>
  <c r="AV72"/>
  <c r="AD74" l="1"/>
  <c r="AG73"/>
  <c r="H73" s="1"/>
  <c r="AW73"/>
  <c r="AF73" s="1"/>
  <c r="G73" s="1"/>
  <c r="AC73" s="1"/>
  <c r="AN73"/>
  <c r="Y73"/>
  <c r="AA73" s="1"/>
  <c r="Z73" s="1"/>
  <c r="AJ75"/>
  <c r="AK75" s="1"/>
  <c r="O75"/>
  <c r="W75" s="1"/>
  <c r="P75"/>
  <c r="K75"/>
  <c r="M75" s="1"/>
  <c r="L75"/>
  <c r="AM74"/>
  <c r="AP74"/>
  <c r="AL74"/>
  <c r="AQ74"/>
  <c r="AV74" s="1"/>
  <c r="AO72"/>
  <c r="AR72" s="1"/>
  <c r="E72"/>
  <c r="AW72"/>
  <c r="AG72" s="1"/>
  <c r="H72" s="1"/>
  <c r="AF72"/>
  <c r="G72" s="1"/>
  <c r="N73"/>
  <c r="Q73" s="1"/>
  <c r="R73"/>
  <c r="C77"/>
  <c r="I76"/>
  <c r="J76" s="1"/>
  <c r="D76"/>
  <c r="AE76"/>
  <c r="AS71"/>
  <c r="M74"/>
  <c r="U74"/>
  <c r="AB73"/>
  <c r="V74" l="1"/>
  <c r="F74" s="1"/>
  <c r="Z6" i="3" s="1"/>
  <c r="E74" i="2"/>
  <c r="Z5" i="3" s="1"/>
  <c r="AJ76" i="2"/>
  <c r="AK76" s="1"/>
  <c r="N74"/>
  <c r="Q74" s="1"/>
  <c r="R74"/>
  <c r="D77"/>
  <c r="AE77"/>
  <c r="I77"/>
  <c r="J77" s="1"/>
  <c r="C78"/>
  <c r="Y74"/>
  <c r="AA74" s="1"/>
  <c r="AN74"/>
  <c r="N75"/>
  <c r="Q75" s="1"/>
  <c r="R75"/>
  <c r="AD75"/>
  <c r="AM75"/>
  <c r="AQ75"/>
  <c r="AP75"/>
  <c r="AL75"/>
  <c r="AO73"/>
  <c r="AR73" s="1"/>
  <c r="AB74"/>
  <c r="K76"/>
  <c r="L76"/>
  <c r="O76"/>
  <c r="P76"/>
  <c r="U76" s="1"/>
  <c r="AW74"/>
  <c r="AG74" s="1"/>
  <c r="H74" s="1"/>
  <c r="Z12" i="3" s="1"/>
  <c r="AC72" i="2"/>
  <c r="AS72"/>
  <c r="U75"/>
  <c r="V75" l="1"/>
  <c r="F75" s="1"/>
  <c r="E75"/>
  <c r="V76"/>
  <c r="F76"/>
  <c r="E76"/>
  <c r="AO74"/>
  <c r="AR74" s="1"/>
  <c r="P77"/>
  <c r="U77" s="1"/>
  <c r="L77"/>
  <c r="K77"/>
  <c r="M77" s="1"/>
  <c r="O77"/>
  <c r="Y75"/>
  <c r="AA75" s="1"/>
  <c r="Z75" s="1"/>
  <c r="AN75"/>
  <c r="Z4" i="3"/>
  <c r="Z74" i="2"/>
  <c r="AE78"/>
  <c r="I78"/>
  <c r="J78" s="1"/>
  <c r="C79"/>
  <c r="D78"/>
  <c r="AJ77"/>
  <c r="AK77" s="1"/>
  <c r="Z7" i="3"/>
  <c r="Z8"/>
  <c r="AF74" i="2"/>
  <c r="G74" s="1"/>
  <c r="W76"/>
  <c r="M76"/>
  <c r="AS73"/>
  <c r="AV75"/>
  <c r="AB75"/>
  <c r="AL76"/>
  <c r="AQ76"/>
  <c r="AV76" s="1"/>
  <c r="AP76"/>
  <c r="AM76"/>
  <c r="AB76" l="1"/>
  <c r="AD76"/>
  <c r="D79"/>
  <c r="AA3" i="3" s="1"/>
  <c r="I79" i="2"/>
  <c r="J79" s="1"/>
  <c r="C80"/>
  <c r="AE79"/>
  <c r="AJ78"/>
  <c r="AK78" s="1"/>
  <c r="N77"/>
  <c r="Q77" s="1"/>
  <c r="E77"/>
  <c r="V77"/>
  <c r="F77"/>
  <c r="AW76"/>
  <c r="AF76" s="1"/>
  <c r="G76" s="1"/>
  <c r="Y76"/>
  <c r="AA76" s="1"/>
  <c r="Z76" s="1"/>
  <c r="AN76"/>
  <c r="AW75"/>
  <c r="AF75" s="1"/>
  <c r="G75" s="1"/>
  <c r="AC75" s="1"/>
  <c r="AG75"/>
  <c r="H75" s="1"/>
  <c r="N76"/>
  <c r="Q76" s="1"/>
  <c r="R76"/>
  <c r="Z11" i="3"/>
  <c r="Z13" s="1"/>
  <c r="AC74" i="2"/>
  <c r="Z9" i="3"/>
  <c r="Z10"/>
  <c r="AP77" i="2"/>
  <c r="AL77"/>
  <c r="AQ77"/>
  <c r="AV77" s="1"/>
  <c r="AM77"/>
  <c r="O78"/>
  <c r="L78"/>
  <c r="P78"/>
  <c r="U78" s="1"/>
  <c r="K78"/>
  <c r="M78" s="1"/>
  <c r="AO75"/>
  <c r="AR75" s="1"/>
  <c r="AS75"/>
  <c r="W77"/>
  <c r="AS74"/>
  <c r="N78" l="1"/>
  <c r="Q78" s="1"/>
  <c r="R78"/>
  <c r="AN77"/>
  <c r="Y77"/>
  <c r="P79"/>
  <c r="L79"/>
  <c r="K79"/>
  <c r="M79" s="1"/>
  <c r="O79"/>
  <c r="W79" s="1"/>
  <c r="AD77"/>
  <c r="AA77"/>
  <c r="Z77" s="1"/>
  <c r="AB77"/>
  <c r="V78"/>
  <c r="F78" s="1"/>
  <c r="AW77"/>
  <c r="AF77"/>
  <c r="G77" s="1"/>
  <c r="AC77" s="1"/>
  <c r="AG77"/>
  <c r="H77" s="1"/>
  <c r="AO76"/>
  <c r="AR76" s="1"/>
  <c r="AQ78"/>
  <c r="AL78"/>
  <c r="AP78"/>
  <c r="AM78"/>
  <c r="AJ79"/>
  <c r="AK79" s="1"/>
  <c r="D80"/>
  <c r="AE80"/>
  <c r="C81"/>
  <c r="I80"/>
  <c r="J80" s="1"/>
  <c r="W78"/>
  <c r="AG76"/>
  <c r="H76" s="1"/>
  <c r="AC76" s="1"/>
  <c r="R77"/>
  <c r="AD79" l="1"/>
  <c r="AV78"/>
  <c r="E78"/>
  <c r="P80"/>
  <c r="O80"/>
  <c r="W80" s="1"/>
  <c r="L80"/>
  <c r="K80"/>
  <c r="M80" s="1"/>
  <c r="AL79"/>
  <c r="AB79" s="1"/>
  <c r="AM79"/>
  <c r="AP79"/>
  <c r="AQ79"/>
  <c r="AV79" s="1"/>
  <c r="AB78"/>
  <c r="AD78"/>
  <c r="C82"/>
  <c r="I81"/>
  <c r="J81" s="1"/>
  <c r="D81"/>
  <c r="AE81"/>
  <c r="AJ80"/>
  <c r="AK80" s="1"/>
  <c r="AN78"/>
  <c r="Y78"/>
  <c r="AA78" s="1"/>
  <c r="Z78" s="1"/>
  <c r="N79"/>
  <c r="Q79" s="1"/>
  <c r="R79"/>
  <c r="AO77"/>
  <c r="AR77" s="1"/>
  <c r="AS77"/>
  <c r="AS76"/>
  <c r="U79"/>
  <c r="V79" l="1"/>
  <c r="F79" s="1"/>
  <c r="AA6" i="3" s="1"/>
  <c r="E79" i="2"/>
  <c r="AA5" i="3" s="1"/>
  <c r="AQ80" i="2"/>
  <c r="AP80"/>
  <c r="AL80"/>
  <c r="AM80"/>
  <c r="AJ81"/>
  <c r="AK81" s="1"/>
  <c r="D82"/>
  <c r="C83"/>
  <c r="I82"/>
  <c r="J82" s="1"/>
  <c r="AE82"/>
  <c r="AW79"/>
  <c r="AF79" s="1"/>
  <c r="G79" s="1"/>
  <c r="AG79"/>
  <c r="N80"/>
  <c r="Q80" s="1"/>
  <c r="R80"/>
  <c r="AB80"/>
  <c r="AD80"/>
  <c r="AO78"/>
  <c r="AR78" s="1"/>
  <c r="P81"/>
  <c r="U81" s="1"/>
  <c r="L81"/>
  <c r="K81"/>
  <c r="M81" s="1"/>
  <c r="O81"/>
  <c r="Y79"/>
  <c r="AA79" s="1"/>
  <c r="AN79"/>
  <c r="AW78"/>
  <c r="AG78" s="1"/>
  <c r="H78" s="1"/>
  <c r="U80"/>
  <c r="AA11" i="3" l="1"/>
  <c r="N81" i="2"/>
  <c r="Q81" s="1"/>
  <c r="V81"/>
  <c r="E81" s="1"/>
  <c r="AJ82"/>
  <c r="AK82" s="1"/>
  <c r="I83"/>
  <c r="J83" s="1"/>
  <c r="D83"/>
  <c r="C84"/>
  <c r="AE83"/>
  <c r="AA8" i="3"/>
  <c r="AA7"/>
  <c r="H79" i="2"/>
  <c r="AA12" i="3" s="1"/>
  <c r="AA4"/>
  <c r="Z79" i="2"/>
  <c r="V80"/>
  <c r="E80" s="1"/>
  <c r="F80"/>
  <c r="AO79"/>
  <c r="AR79" s="1"/>
  <c r="P82"/>
  <c r="L82"/>
  <c r="K82"/>
  <c r="O82"/>
  <c r="W82" s="1"/>
  <c r="AQ81"/>
  <c r="AM81"/>
  <c r="AL81"/>
  <c r="AP81"/>
  <c r="Y80"/>
  <c r="AA80" s="1"/>
  <c r="Z80" s="1"/>
  <c r="AN80"/>
  <c r="AF78"/>
  <c r="G78" s="1"/>
  <c r="AC78" s="1"/>
  <c r="W81"/>
  <c r="AS78"/>
  <c r="AV80"/>
  <c r="AW80" l="1"/>
  <c r="AG80" s="1"/>
  <c r="H80" s="1"/>
  <c r="AF80"/>
  <c r="G80" s="1"/>
  <c r="AO80"/>
  <c r="AR80" s="1"/>
  <c r="AS80"/>
  <c r="AN81"/>
  <c r="Y81"/>
  <c r="AV81"/>
  <c r="M82"/>
  <c r="U82"/>
  <c r="AS79"/>
  <c r="F81"/>
  <c r="R81"/>
  <c r="AA13" i="3"/>
  <c r="AA81" i="2"/>
  <c r="Z81" s="1"/>
  <c r="AD81"/>
  <c r="AB81"/>
  <c r="AD82"/>
  <c r="AA9" i="3"/>
  <c r="AA10"/>
  <c r="AJ83" i="2"/>
  <c r="AK83" s="1"/>
  <c r="D84"/>
  <c r="AB3" i="3" s="1"/>
  <c r="AE84" i="2"/>
  <c r="C85"/>
  <c r="I84"/>
  <c r="J84" s="1"/>
  <c r="L83"/>
  <c r="P83"/>
  <c r="K83"/>
  <c r="M83" s="1"/>
  <c r="O83"/>
  <c r="W83" s="1"/>
  <c r="AP82"/>
  <c r="AM82"/>
  <c r="AQ82"/>
  <c r="AV82" s="1"/>
  <c r="AL82"/>
  <c r="AC79"/>
  <c r="AD83" l="1"/>
  <c r="D85"/>
  <c r="I85"/>
  <c r="J85" s="1"/>
  <c r="C86"/>
  <c r="AE85"/>
  <c r="AL83"/>
  <c r="AP83"/>
  <c r="AQ83"/>
  <c r="AV83" s="1"/>
  <c r="AM83"/>
  <c r="N82"/>
  <c r="Q82" s="1"/>
  <c r="U83"/>
  <c r="AC80"/>
  <c r="Y82"/>
  <c r="AA82" s="1"/>
  <c r="Z82" s="1"/>
  <c r="AN82"/>
  <c r="AW82"/>
  <c r="AG82" s="1"/>
  <c r="N83"/>
  <c r="Q83" s="1"/>
  <c r="R83"/>
  <c r="O84"/>
  <c r="P84"/>
  <c r="U84" s="1"/>
  <c r="K84"/>
  <c r="L84"/>
  <c r="AJ84"/>
  <c r="AK84" s="1"/>
  <c r="V82"/>
  <c r="F82" s="1"/>
  <c r="AW81"/>
  <c r="AF81" s="1"/>
  <c r="G81" s="1"/>
  <c r="AO81"/>
  <c r="AR81" s="1"/>
  <c r="AB82"/>
  <c r="H82" l="1"/>
  <c r="V84"/>
  <c r="F84" s="1"/>
  <c r="AB6" i="3" s="1"/>
  <c r="E84" i="2"/>
  <c r="AB5" i="3" s="1"/>
  <c r="V83" i="2"/>
  <c r="F83"/>
  <c r="E83"/>
  <c r="AW83"/>
  <c r="AF83" s="1"/>
  <c r="G83" s="1"/>
  <c r="AC83" s="1"/>
  <c r="AG83"/>
  <c r="H83" s="1"/>
  <c r="Y83"/>
  <c r="AA83" s="1"/>
  <c r="Z83" s="1"/>
  <c r="AN83"/>
  <c r="AJ85"/>
  <c r="AK85" s="1"/>
  <c r="K85"/>
  <c r="O85"/>
  <c r="W85" s="1"/>
  <c r="P85"/>
  <c r="U85" s="1"/>
  <c r="L85"/>
  <c r="AF82"/>
  <c r="AB83"/>
  <c r="AP84"/>
  <c r="AQ84"/>
  <c r="AV84" s="1"/>
  <c r="AL84"/>
  <c r="AM84"/>
  <c r="AO82"/>
  <c r="AR82" s="1"/>
  <c r="AS82"/>
  <c r="C87"/>
  <c r="D86"/>
  <c r="AE86"/>
  <c r="I86"/>
  <c r="J86" s="1"/>
  <c r="AG81"/>
  <c r="H81" s="1"/>
  <c r="AC81" s="1"/>
  <c r="AS81"/>
  <c r="E82"/>
  <c r="M84"/>
  <c r="W84"/>
  <c r="R82"/>
  <c r="P86" l="1"/>
  <c r="U86" s="1"/>
  <c r="O86"/>
  <c r="W86" s="1"/>
  <c r="K86"/>
  <c r="M86" s="1"/>
  <c r="L86"/>
  <c r="AW84"/>
  <c r="AF84" s="1"/>
  <c r="G84" s="1"/>
  <c r="AG84"/>
  <c r="H84" s="1"/>
  <c r="AB12" i="3" s="1"/>
  <c r="AD85" i="2"/>
  <c r="AS83"/>
  <c r="AO83"/>
  <c r="AR83" s="1"/>
  <c r="AB8" i="3"/>
  <c r="AB7"/>
  <c r="AD84" i="2"/>
  <c r="AB84"/>
  <c r="N84"/>
  <c r="Q84" s="1"/>
  <c r="R84"/>
  <c r="AJ86"/>
  <c r="AK86" s="1"/>
  <c r="I87"/>
  <c r="J87" s="1"/>
  <c r="AE87"/>
  <c r="D87"/>
  <c r="C88"/>
  <c r="Y84"/>
  <c r="AA84" s="1"/>
  <c r="AN84"/>
  <c r="V85"/>
  <c r="E85"/>
  <c r="F85"/>
  <c r="AP85"/>
  <c r="AQ85"/>
  <c r="AV85" s="1"/>
  <c r="AL85"/>
  <c r="AB85" s="1"/>
  <c r="AM85"/>
  <c r="G82"/>
  <c r="AC82" s="1"/>
  <c r="M85"/>
  <c r="Z84" l="1"/>
  <c r="AB4" i="3"/>
  <c r="AB11"/>
  <c r="AB13" s="1"/>
  <c r="AC84" i="2"/>
  <c r="AW85"/>
  <c r="AF85" s="1"/>
  <c r="G85" s="1"/>
  <c r="AC85" s="1"/>
  <c r="AG85"/>
  <c r="H85" s="1"/>
  <c r="D88"/>
  <c r="AE88"/>
  <c r="I88"/>
  <c r="J88" s="1"/>
  <c r="C89"/>
  <c r="AJ87"/>
  <c r="AK87" s="1"/>
  <c r="N86"/>
  <c r="Q86" s="1"/>
  <c r="V86"/>
  <c r="E86" s="1"/>
  <c r="F86"/>
  <c r="N85"/>
  <c r="Q85" s="1"/>
  <c r="R85"/>
  <c r="Y85"/>
  <c r="AA85" s="1"/>
  <c r="Z85" s="1"/>
  <c r="AN85"/>
  <c r="AO84"/>
  <c r="AR84" s="1"/>
  <c r="AS84"/>
  <c r="O87"/>
  <c r="L87"/>
  <c r="K87"/>
  <c r="P87"/>
  <c r="U87" s="1"/>
  <c r="AQ86"/>
  <c r="AP86"/>
  <c r="AL86"/>
  <c r="AM86"/>
  <c r="AB86" s="1"/>
  <c r="AB9" i="3"/>
  <c r="AB10"/>
  <c r="AD86" i="2"/>
  <c r="V87" l="1"/>
  <c r="E87" s="1"/>
  <c r="F87"/>
  <c r="AO85"/>
  <c r="AR85" s="1"/>
  <c r="AS85"/>
  <c r="AQ87"/>
  <c r="AP87"/>
  <c r="AL87"/>
  <c r="AM87"/>
  <c r="D89"/>
  <c r="AC3" i="3" s="1"/>
  <c r="AE89" i="2"/>
  <c r="I89"/>
  <c r="J89" s="1"/>
  <c r="C90"/>
  <c r="AJ88"/>
  <c r="AK88" s="1"/>
  <c r="Y86"/>
  <c r="AA86" s="1"/>
  <c r="Z86" s="1"/>
  <c r="AN86"/>
  <c r="P88"/>
  <c r="U88" s="1"/>
  <c r="K88"/>
  <c r="L88"/>
  <c r="O88"/>
  <c r="W88" s="1"/>
  <c r="AV86"/>
  <c r="M87"/>
  <c r="W87"/>
  <c r="R86"/>
  <c r="AD87" l="1"/>
  <c r="AB87"/>
  <c r="V88"/>
  <c r="F88"/>
  <c r="E88"/>
  <c r="AP88"/>
  <c r="AL88"/>
  <c r="AM88"/>
  <c r="AQ88"/>
  <c r="AV88" s="1"/>
  <c r="AE90"/>
  <c r="C91"/>
  <c r="I90"/>
  <c r="J90" s="1"/>
  <c r="D90"/>
  <c r="AJ89"/>
  <c r="AK89" s="1"/>
  <c r="AW86"/>
  <c r="AG86" s="1"/>
  <c r="H86" s="1"/>
  <c r="N87"/>
  <c r="Q87" s="1"/>
  <c r="AB88"/>
  <c r="AD88"/>
  <c r="AO86"/>
  <c r="AR86" s="1"/>
  <c r="AS86"/>
  <c r="P89"/>
  <c r="K89"/>
  <c r="O89"/>
  <c r="W89" s="1"/>
  <c r="L89"/>
  <c r="AN87"/>
  <c r="Y87"/>
  <c r="AA87" s="1"/>
  <c r="Z87" s="1"/>
  <c r="M88"/>
  <c r="AV87"/>
  <c r="AQ89" l="1"/>
  <c r="AV89" s="1"/>
  <c r="AP89"/>
  <c r="AM89"/>
  <c r="AL89"/>
  <c r="O90"/>
  <c r="W90" s="1"/>
  <c r="P90"/>
  <c r="L90"/>
  <c r="K90"/>
  <c r="AJ90"/>
  <c r="AK90" s="1"/>
  <c r="M89"/>
  <c r="AW87"/>
  <c r="AG87" s="1"/>
  <c r="H87" s="1"/>
  <c r="AF87"/>
  <c r="G87" s="1"/>
  <c r="N88"/>
  <c r="Q88" s="1"/>
  <c r="R88"/>
  <c r="AO87"/>
  <c r="AR87" s="1"/>
  <c r="AS87"/>
  <c r="AD89"/>
  <c r="AB89"/>
  <c r="C92"/>
  <c r="D91"/>
  <c r="I91"/>
  <c r="J91" s="1"/>
  <c r="AE91"/>
  <c r="AW88"/>
  <c r="AF88" s="1"/>
  <c r="G88" s="1"/>
  <c r="AN88"/>
  <c r="Y88"/>
  <c r="AA88" s="1"/>
  <c r="Z88" s="1"/>
  <c r="U89"/>
  <c r="R87"/>
  <c r="AF86"/>
  <c r="G86" s="1"/>
  <c r="AC86" s="1"/>
  <c r="AJ91" l="1"/>
  <c r="AK91" s="1"/>
  <c r="N89"/>
  <c r="Q89" s="1"/>
  <c r="R89"/>
  <c r="AD90"/>
  <c r="AW89"/>
  <c r="AF89" s="1"/>
  <c r="G89" s="1"/>
  <c r="AG89"/>
  <c r="AG88"/>
  <c r="H88" s="1"/>
  <c r="AC88" s="1"/>
  <c r="V89"/>
  <c r="F89" s="1"/>
  <c r="AC6" i="3" s="1"/>
  <c r="E89" i="2"/>
  <c r="AC5" i="3" s="1"/>
  <c r="AO88" i="2"/>
  <c r="AR88" s="1"/>
  <c r="AS88"/>
  <c r="L91"/>
  <c r="K91"/>
  <c r="M91" s="1"/>
  <c r="P91"/>
  <c r="O91"/>
  <c r="W91" s="1"/>
  <c r="C93"/>
  <c r="D92"/>
  <c r="I92"/>
  <c r="J92" s="1"/>
  <c r="AE92"/>
  <c r="AL90"/>
  <c r="AM90"/>
  <c r="AQ90"/>
  <c r="AV90" s="1"/>
  <c r="AP90"/>
  <c r="Y89"/>
  <c r="AA89" s="1"/>
  <c r="AN89"/>
  <c r="AC87"/>
  <c r="M90"/>
  <c r="U90"/>
  <c r="AC11" i="3" l="1"/>
  <c r="AW90" i="2"/>
  <c r="AF90" s="1"/>
  <c r="G90" s="1"/>
  <c r="AG90"/>
  <c r="Y90"/>
  <c r="AA90" s="1"/>
  <c r="Z90" s="1"/>
  <c r="AN90"/>
  <c r="AJ92"/>
  <c r="AK92" s="1"/>
  <c r="AD91"/>
  <c r="N91"/>
  <c r="Q91" s="1"/>
  <c r="AC7" i="3"/>
  <c r="AC8"/>
  <c r="H89" i="2"/>
  <c r="AC12" i="3" s="1"/>
  <c r="AB90" i="2"/>
  <c r="V90"/>
  <c r="F90" s="1"/>
  <c r="E90"/>
  <c r="Z89"/>
  <c r="AC4" i="3"/>
  <c r="N90" i="2"/>
  <c r="Q90" s="1"/>
  <c r="R90"/>
  <c r="AO89"/>
  <c r="AR89" s="1"/>
  <c r="K92"/>
  <c r="L92"/>
  <c r="O92"/>
  <c r="P92"/>
  <c r="U92" s="1"/>
  <c r="I93"/>
  <c r="J93" s="1"/>
  <c r="C94"/>
  <c r="AE93"/>
  <c r="D93"/>
  <c r="AP91"/>
  <c r="AQ91"/>
  <c r="AL91"/>
  <c r="AM91"/>
  <c r="U91"/>
  <c r="V91" l="1"/>
  <c r="E91"/>
  <c r="F91"/>
  <c r="V92"/>
  <c r="F92" s="1"/>
  <c r="AC9" i="3"/>
  <c r="AC10"/>
  <c r="AO90" i="2"/>
  <c r="AR90" s="1"/>
  <c r="AS90"/>
  <c r="H90"/>
  <c r="AC90" s="1"/>
  <c r="AC13" i="3"/>
  <c r="Y91" i="2"/>
  <c r="AA91" s="1"/>
  <c r="Z91" s="1"/>
  <c r="AN91"/>
  <c r="AE94"/>
  <c r="D94"/>
  <c r="AD3" i="3" s="1"/>
  <c r="I94" i="2"/>
  <c r="J94" s="1"/>
  <c r="C95"/>
  <c r="AJ93"/>
  <c r="AK93" s="1"/>
  <c r="K93"/>
  <c r="O93"/>
  <c r="L93"/>
  <c r="P93"/>
  <c r="U93" s="1"/>
  <c r="AL92"/>
  <c r="AM92"/>
  <c r="AQ92"/>
  <c r="AV92" s="1"/>
  <c r="AP92"/>
  <c r="AV91"/>
  <c r="W92"/>
  <c r="M92"/>
  <c r="AS89"/>
  <c r="R91"/>
  <c r="AB91"/>
  <c r="AC89"/>
  <c r="N92" l="1"/>
  <c r="Q92" s="1"/>
  <c r="AW92"/>
  <c r="AG92" s="1"/>
  <c r="H92" s="1"/>
  <c r="AN92"/>
  <c r="Y92"/>
  <c r="AM93"/>
  <c r="AQ93"/>
  <c r="AV93" s="1"/>
  <c r="AP93"/>
  <c r="AL93"/>
  <c r="I95"/>
  <c r="J95" s="1"/>
  <c r="AE95"/>
  <c r="D95"/>
  <c r="C96"/>
  <c r="AO91"/>
  <c r="AR91" s="1"/>
  <c r="M93"/>
  <c r="E92"/>
  <c r="AW91"/>
  <c r="AF91" s="1"/>
  <c r="G91" s="1"/>
  <c r="AD92"/>
  <c r="AA92"/>
  <c r="Z92" s="1"/>
  <c r="AB92"/>
  <c r="V93"/>
  <c r="E93" s="1"/>
  <c r="K94"/>
  <c r="O94"/>
  <c r="L94"/>
  <c r="P94"/>
  <c r="U94" s="1"/>
  <c r="AJ94"/>
  <c r="AK94" s="1"/>
  <c r="W93"/>
  <c r="V94" l="1"/>
  <c r="E94"/>
  <c r="AD5" i="3" s="1"/>
  <c r="F94" i="2"/>
  <c r="AD6" i="3" s="1"/>
  <c r="N93" i="2"/>
  <c r="Q93" s="1"/>
  <c r="AJ95"/>
  <c r="AK95" s="1"/>
  <c r="AN93"/>
  <c r="Y93"/>
  <c r="AF93"/>
  <c r="G93" s="1"/>
  <c r="AW93"/>
  <c r="AG93"/>
  <c r="H93" s="1"/>
  <c r="F93"/>
  <c r="AF92"/>
  <c r="G92" s="1"/>
  <c r="AC92" s="1"/>
  <c r="AB93"/>
  <c r="AA93"/>
  <c r="Z93" s="1"/>
  <c r="AD93"/>
  <c r="AP94"/>
  <c r="AL94"/>
  <c r="AQ94"/>
  <c r="AV94" s="1"/>
  <c r="AM94"/>
  <c r="I96"/>
  <c r="J96" s="1"/>
  <c r="AE96"/>
  <c r="D96"/>
  <c r="C97"/>
  <c r="O95"/>
  <c r="L95"/>
  <c r="P95"/>
  <c r="U95" s="1"/>
  <c r="K95"/>
  <c r="M95" s="1"/>
  <c r="AO92"/>
  <c r="AR92" s="1"/>
  <c r="AS92"/>
  <c r="W94"/>
  <c r="AG91"/>
  <c r="H91" s="1"/>
  <c r="AC91" s="1"/>
  <c r="M94"/>
  <c r="AS91"/>
  <c r="R92"/>
  <c r="N95" l="1"/>
  <c r="Q95" s="1"/>
  <c r="AE97"/>
  <c r="C98"/>
  <c r="I97"/>
  <c r="J97" s="1"/>
  <c r="D97"/>
  <c r="P96"/>
  <c r="L96"/>
  <c r="K96"/>
  <c r="O96"/>
  <c r="W96" s="1"/>
  <c r="AF94"/>
  <c r="G94" s="1"/>
  <c r="AW94"/>
  <c r="AG94" s="1"/>
  <c r="H94" s="1"/>
  <c r="AD12" i="3" s="1"/>
  <c r="AO93" i="2"/>
  <c r="AR93" s="1"/>
  <c r="AP95"/>
  <c r="AL95"/>
  <c r="AQ95"/>
  <c r="AV95" s="1"/>
  <c r="AM95"/>
  <c r="AD8" i="3"/>
  <c r="AD7"/>
  <c r="AC93" i="2"/>
  <c r="N94"/>
  <c r="Q94" s="1"/>
  <c r="R94"/>
  <c r="AD94"/>
  <c r="AB94"/>
  <c r="V95"/>
  <c r="E95" s="1"/>
  <c r="AJ96"/>
  <c r="AK96" s="1"/>
  <c r="AN94"/>
  <c r="Y94"/>
  <c r="AA94" s="1"/>
  <c r="W95"/>
  <c r="R93"/>
  <c r="AD4" i="3" l="1"/>
  <c r="Z94" i="2"/>
  <c r="AW95"/>
  <c r="AG95" s="1"/>
  <c r="H95" s="1"/>
  <c r="AF95"/>
  <c r="G95" s="1"/>
  <c r="AC94"/>
  <c r="AD11" i="3"/>
  <c r="AD13" s="1"/>
  <c r="AD96" i="2"/>
  <c r="K97"/>
  <c r="M97" s="1"/>
  <c r="L97"/>
  <c r="P97"/>
  <c r="U97" s="1"/>
  <c r="O97"/>
  <c r="AJ97"/>
  <c r="AK97" s="1"/>
  <c r="AP96"/>
  <c r="AQ96"/>
  <c r="AM96"/>
  <c r="AL96"/>
  <c r="AB95"/>
  <c r="AD95"/>
  <c r="AO94"/>
  <c r="AR94" s="1"/>
  <c r="AS94"/>
  <c r="AD10" i="3"/>
  <c r="AD9"/>
  <c r="AN95" i="2"/>
  <c r="Y95"/>
  <c r="AA95" s="1"/>
  <c r="Z95" s="1"/>
  <c r="C99"/>
  <c r="I98"/>
  <c r="J98" s="1"/>
  <c r="AE98"/>
  <c r="D98"/>
  <c r="F95"/>
  <c r="AS93"/>
  <c r="M96"/>
  <c r="U96"/>
  <c r="R95"/>
  <c r="N96" l="1"/>
  <c r="Q96" s="1"/>
  <c r="AJ98"/>
  <c r="AK98" s="1"/>
  <c r="V97"/>
  <c r="F97" s="1"/>
  <c r="N97"/>
  <c r="Q97" s="1"/>
  <c r="R97"/>
  <c r="AC95"/>
  <c r="V96"/>
  <c r="F96" s="1"/>
  <c r="P98"/>
  <c r="L98"/>
  <c r="K98"/>
  <c r="O98"/>
  <c r="W98" s="1"/>
  <c r="D99"/>
  <c r="AE3" i="3" s="1"/>
  <c r="I99" i="2"/>
  <c r="J99" s="1"/>
  <c r="C100"/>
  <c r="AE99"/>
  <c r="AO95"/>
  <c r="AR95" s="1"/>
  <c r="AN96"/>
  <c r="Y96"/>
  <c r="AA96" s="1"/>
  <c r="Z96" s="1"/>
  <c r="AL97"/>
  <c r="AM97"/>
  <c r="AQ97"/>
  <c r="AV97" s="1"/>
  <c r="AP97"/>
  <c r="AV96"/>
  <c r="W97"/>
  <c r="AB96"/>
  <c r="AF96" l="1"/>
  <c r="AW96"/>
  <c r="AG96"/>
  <c r="H96" s="1"/>
  <c r="AN97"/>
  <c r="Y97"/>
  <c r="AO96"/>
  <c r="AR96" s="1"/>
  <c r="AS96"/>
  <c r="AJ99"/>
  <c r="AK99" s="1"/>
  <c r="AD98"/>
  <c r="AQ98"/>
  <c r="AL98"/>
  <c r="AB98" s="1"/>
  <c r="AP98"/>
  <c r="AM98"/>
  <c r="E96"/>
  <c r="E97"/>
  <c r="AW97"/>
  <c r="AG97" s="1"/>
  <c r="H97" s="1"/>
  <c r="AF97"/>
  <c r="G97" s="1"/>
  <c r="K99"/>
  <c r="O99"/>
  <c r="W99" s="1"/>
  <c r="P99"/>
  <c r="L99"/>
  <c r="AD97"/>
  <c r="AA97"/>
  <c r="Z97" s="1"/>
  <c r="AB97"/>
  <c r="AE100"/>
  <c r="D100"/>
  <c r="I100"/>
  <c r="J100" s="1"/>
  <c r="C101"/>
  <c r="AS95"/>
  <c r="M98"/>
  <c r="U98"/>
  <c r="R96"/>
  <c r="N98" l="1"/>
  <c r="Q98" s="1"/>
  <c r="I101"/>
  <c r="J101" s="1"/>
  <c r="C102"/>
  <c r="D101"/>
  <c r="AE101"/>
  <c r="AJ100"/>
  <c r="AK100" s="1"/>
  <c r="AD99"/>
  <c r="AC97"/>
  <c r="AV98"/>
  <c r="G96"/>
  <c r="AC96" s="1"/>
  <c r="E98"/>
  <c r="V98"/>
  <c r="F98" s="1"/>
  <c r="K100"/>
  <c r="O100"/>
  <c r="L100"/>
  <c r="P100"/>
  <c r="U100" s="1"/>
  <c r="Y98"/>
  <c r="AA98" s="1"/>
  <c r="Z98" s="1"/>
  <c r="AN98"/>
  <c r="AL99"/>
  <c r="AP99"/>
  <c r="AM99"/>
  <c r="AQ99"/>
  <c r="AV99" s="1"/>
  <c r="AO97"/>
  <c r="AR97" s="1"/>
  <c r="U99"/>
  <c r="M99"/>
  <c r="Y99" l="1"/>
  <c r="AA99" s="1"/>
  <c r="AN99"/>
  <c r="AP100"/>
  <c r="AQ100"/>
  <c r="AM100"/>
  <c r="AL100"/>
  <c r="AJ101"/>
  <c r="AK101" s="1"/>
  <c r="K101"/>
  <c r="M101" s="1"/>
  <c r="L101"/>
  <c r="P101"/>
  <c r="U101" s="1"/>
  <c r="O101"/>
  <c r="M100"/>
  <c r="AB99"/>
  <c r="F99"/>
  <c r="AE6" i="3" s="1"/>
  <c r="V99" i="2"/>
  <c r="E99"/>
  <c r="AE5" i="3" s="1"/>
  <c r="N99" i="2"/>
  <c r="Q99" s="1"/>
  <c r="R99"/>
  <c r="AG99"/>
  <c r="H99" s="1"/>
  <c r="AE12" i="3" s="1"/>
  <c r="AW99" i="2"/>
  <c r="AF99" s="1"/>
  <c r="G99" s="1"/>
  <c r="AO98"/>
  <c r="AR98" s="1"/>
  <c r="V100"/>
  <c r="F100" s="1"/>
  <c r="E100"/>
  <c r="AW98"/>
  <c r="AG98"/>
  <c r="H98" s="1"/>
  <c r="AF98"/>
  <c r="G98" s="1"/>
  <c r="D102"/>
  <c r="I102"/>
  <c r="J102" s="1"/>
  <c r="AE102"/>
  <c r="C103"/>
  <c r="AS97"/>
  <c r="W100"/>
  <c r="R98"/>
  <c r="AE11" i="3" l="1"/>
  <c r="AE13" s="1"/>
  <c r="AC99" i="2"/>
  <c r="O102"/>
  <c r="W102" s="1"/>
  <c r="P102"/>
  <c r="L102"/>
  <c r="K102"/>
  <c r="AE8" i="3"/>
  <c r="AE7"/>
  <c r="N100" i="2"/>
  <c r="Q100" s="1"/>
  <c r="V101"/>
  <c r="F101" s="1"/>
  <c r="N101"/>
  <c r="Q101" s="1"/>
  <c r="AM101"/>
  <c r="AQ101"/>
  <c r="AP101"/>
  <c r="AL101"/>
  <c r="AE4" i="3"/>
  <c r="Z99" i="2"/>
  <c r="AD100"/>
  <c r="AB100"/>
  <c r="D103"/>
  <c r="AE103"/>
  <c r="I103"/>
  <c r="J103" s="1"/>
  <c r="C104"/>
  <c r="AJ102"/>
  <c r="AK102" s="1"/>
  <c r="Y100"/>
  <c r="AA100" s="1"/>
  <c r="Z100" s="1"/>
  <c r="AN100"/>
  <c r="AO99"/>
  <c r="AR99" s="1"/>
  <c r="AS99"/>
  <c r="AC98"/>
  <c r="AS98"/>
  <c r="W101"/>
  <c r="AV100"/>
  <c r="AO100" l="1"/>
  <c r="AR100" s="1"/>
  <c r="L103"/>
  <c r="P103"/>
  <c r="O103"/>
  <c r="W103" s="1"/>
  <c r="K103"/>
  <c r="Y101"/>
  <c r="AN101"/>
  <c r="AD102"/>
  <c r="AV101"/>
  <c r="R101"/>
  <c r="E101"/>
  <c r="AW100"/>
  <c r="AF100" s="1"/>
  <c r="G100" s="1"/>
  <c r="AD101"/>
  <c r="AA101"/>
  <c r="Z101" s="1"/>
  <c r="AB101"/>
  <c r="AQ102"/>
  <c r="AL102"/>
  <c r="AB102" s="1"/>
  <c r="AM102"/>
  <c r="AP102"/>
  <c r="N19" i="3"/>
  <c r="AE104" i="2"/>
  <c r="O19" i="3"/>
  <c r="I104" i="2"/>
  <c r="J104" s="1"/>
  <c r="D104"/>
  <c r="AJ103"/>
  <c r="AK103" s="1"/>
  <c r="AE10" i="3"/>
  <c r="AE9"/>
  <c r="R100" i="2"/>
  <c r="M102"/>
  <c r="U102"/>
  <c r="AP103" l="1"/>
  <c r="AM103"/>
  <c r="AL103"/>
  <c r="AQ103"/>
  <c r="AV103" s="1"/>
  <c r="R19" i="3"/>
  <c r="S19"/>
  <c r="AA103" i="2"/>
  <c r="Z103" s="1"/>
  <c r="AB103"/>
  <c r="AD103"/>
  <c r="AV102"/>
  <c r="AG100"/>
  <c r="H100" s="1"/>
  <c r="AC100" s="1"/>
  <c r="V102"/>
  <c r="F102" s="1"/>
  <c r="E102"/>
  <c r="N102"/>
  <c r="Q102" s="1"/>
  <c r="R102"/>
  <c r="O104"/>
  <c r="L104"/>
  <c r="P104"/>
  <c r="U104" s="1"/>
  <c r="K104"/>
  <c r="AJ104"/>
  <c r="AK104" s="1"/>
  <c r="Y102"/>
  <c r="AA102" s="1"/>
  <c r="Z102" s="1"/>
  <c r="AN102"/>
  <c r="AW101"/>
  <c r="AG101"/>
  <c r="H101" s="1"/>
  <c r="AF101"/>
  <c r="G101" s="1"/>
  <c r="AC101" s="1"/>
  <c r="AO101"/>
  <c r="AR101" s="1"/>
  <c r="AS101"/>
  <c r="M103"/>
  <c r="U103"/>
  <c r="AS100"/>
  <c r="N103" l="1"/>
  <c r="Q103" s="1"/>
  <c r="AO102"/>
  <c r="AR102" s="1"/>
  <c r="O18" i="3"/>
  <c r="O22" s="1"/>
  <c r="M104" i="2"/>
  <c r="N18" i="3"/>
  <c r="AW102" i="2"/>
  <c r="AF102" s="1"/>
  <c r="G102" s="1"/>
  <c r="AW103"/>
  <c r="AG103" s="1"/>
  <c r="AF103"/>
  <c r="V103"/>
  <c r="F103" s="1"/>
  <c r="AQ104"/>
  <c r="AV104" s="1"/>
  <c r="AP104"/>
  <c r="AL104"/>
  <c r="AM104"/>
  <c r="F104"/>
  <c r="V104"/>
  <c r="E104"/>
  <c r="N17" i="3"/>
  <c r="O17"/>
  <c r="W104" i="2"/>
  <c r="V19" i="3"/>
  <c r="W19"/>
  <c r="AN103" i="2"/>
  <c r="Y103"/>
  <c r="H103" l="1"/>
  <c r="AO103"/>
  <c r="AR103" s="1"/>
  <c r="AF5" i="3"/>
  <c r="N16"/>
  <c r="AW104" i="2"/>
  <c r="AF104" s="1"/>
  <c r="G104" s="1"/>
  <c r="AG104"/>
  <c r="H104" s="1"/>
  <c r="AF12" i="3" s="1"/>
  <c r="S18"/>
  <c r="S22" s="1"/>
  <c r="N22"/>
  <c r="R18"/>
  <c r="AF6"/>
  <c r="O16"/>
  <c r="AN104" i="2"/>
  <c r="Y104"/>
  <c r="D32" i="1" s="1"/>
  <c r="AD104" i="2"/>
  <c r="AA104"/>
  <c r="AB104"/>
  <c r="R17" i="3"/>
  <c r="S17"/>
  <c r="N104" i="2"/>
  <c r="Q104" s="1"/>
  <c r="E103"/>
  <c r="G103" s="1"/>
  <c r="AC103" s="1"/>
  <c r="AG102"/>
  <c r="H102" s="1"/>
  <c r="AC102" s="1"/>
  <c r="AS102"/>
  <c r="R103"/>
  <c r="AF11" i="3" l="1"/>
  <c r="AF13" s="1"/>
  <c r="AC104" i="2"/>
  <c r="AB27" i="3"/>
  <c r="Z27"/>
  <c r="AF7"/>
  <c r="AF8"/>
  <c r="W17"/>
  <c r="V17"/>
  <c r="Z104" i="2"/>
  <c r="I29" i="1"/>
  <c r="K32"/>
  <c r="AF4" i="3"/>
  <c r="K33" i="1"/>
  <c r="AO104" i="2"/>
  <c r="AR104" s="1"/>
  <c r="AS104"/>
  <c r="W18" i="3"/>
  <c r="W22" s="1"/>
  <c r="V18"/>
  <c r="V22" s="1"/>
  <c r="R22"/>
  <c r="R16"/>
  <c r="S16"/>
  <c r="Z26"/>
  <c r="Z28" s="1"/>
  <c r="AB29" s="1"/>
  <c r="AB26"/>
  <c r="R104" i="2"/>
  <c r="AS103"/>
  <c r="K15" i="1" l="1"/>
  <c r="AE17" i="3"/>
  <c r="J29" i="1"/>
  <c r="AF9" i="3"/>
  <c r="AF10"/>
  <c r="W16"/>
  <c r="V16"/>
  <c r="AB28"/>
  <c r="Z29" s="1"/>
</calcChain>
</file>

<file path=xl/comments1.xml><?xml version="1.0" encoding="utf-8"?>
<comments xmlns="http://schemas.openxmlformats.org/spreadsheetml/2006/main">
  <authors>
    <author>ODOT User</author>
    <author>Windows User</author>
  </authors>
  <commentList>
    <comment ref="B4" authorId="0">
      <text>
        <r>
          <rPr>
            <b/>
            <sz val="9"/>
            <color indexed="81"/>
            <rFont val="Tahoma"/>
            <family val="2"/>
          </rPr>
          <t>Units for length are your choice - torque will be in units of 'force-length'.</t>
        </r>
      </text>
    </comment>
    <comment ref="C8" authorId="1">
      <text>
        <r>
          <rPr>
            <b/>
            <sz val="9"/>
            <color indexed="81"/>
            <rFont val="Tahoma"/>
            <family val="2"/>
          </rPr>
          <t>Applies to powered Rear Bar [Crank] only.</t>
        </r>
      </text>
    </comment>
    <comment ref="B12" authorId="0">
      <text>
        <r>
          <rPr>
            <b/>
            <sz val="9"/>
            <color indexed="81"/>
            <rFont val="Tahoma"/>
            <family val="2"/>
          </rPr>
          <t xml:space="preserve">Angles are in degrees and relative to the base (frame). </t>
        </r>
      </text>
    </comment>
    <comment ref="B14" authorId="0">
      <text>
        <r>
          <rPr>
            <b/>
            <sz val="9"/>
            <color indexed="81"/>
            <rFont val="Tahoma"/>
            <family val="2"/>
          </rPr>
          <t>Units for weight force are your choice - torque will be in units of 'force-length'.</t>
        </r>
        <r>
          <rPr>
            <sz val="9"/>
            <color indexed="81"/>
            <rFont val="Tahoma"/>
            <family val="2"/>
          </rPr>
          <t xml:space="preserve">
</t>
        </r>
      </text>
    </comment>
  </commentList>
</comments>
</file>

<file path=xl/comments2.xml><?xml version="1.0" encoding="utf-8"?>
<comments xmlns="http://schemas.openxmlformats.org/spreadsheetml/2006/main">
  <authors>
    <author>ODOT User</author>
  </authors>
  <commentList>
    <comment ref="Y25" authorId="0">
      <text>
        <r>
          <rPr>
            <b/>
            <sz val="9"/>
            <color indexed="81"/>
            <rFont val="Tahoma"/>
            <family val="2"/>
          </rPr>
          <t>Draw a point at (Xdot,Ydot) to square up the range boxes on the position chart.</t>
        </r>
        <r>
          <rPr>
            <sz val="9"/>
            <color indexed="81"/>
            <rFont val="Tahoma"/>
            <family val="2"/>
          </rPr>
          <t xml:space="preserve">
</t>
        </r>
        <r>
          <rPr>
            <b/>
            <sz val="9"/>
            <color indexed="81"/>
            <rFont val="Tahoma"/>
            <family val="2"/>
          </rPr>
          <t>'Active' s linked to checkbox above the linkage plot on the 'Main' tab.</t>
        </r>
      </text>
    </comment>
  </commentList>
</comments>
</file>

<file path=xl/sharedStrings.xml><?xml version="1.0" encoding="utf-8"?>
<sst xmlns="http://schemas.openxmlformats.org/spreadsheetml/2006/main" count="342" uniqueCount="109">
  <si>
    <t>alpha1</t>
  </si>
  <si>
    <t>e</t>
  </si>
  <si>
    <t>alpha2</t>
  </si>
  <si>
    <t>alpha6</t>
  </si>
  <si>
    <t>alpha4</t>
  </si>
  <si>
    <t>alpha5</t>
  </si>
  <si>
    <t>alpha7</t>
  </si>
  <si>
    <t>alpha3</t>
  </si>
  <si>
    <t>dprime</t>
  </si>
  <si>
    <t>bprime</t>
  </si>
  <si>
    <t>Linkage motions</t>
  </si>
  <si>
    <t>t</t>
  </si>
  <si>
    <t>alpha8</t>
  </si>
  <si>
    <t>u</t>
  </si>
  <si>
    <t>alpha9</t>
  </si>
  <si>
    <t>x</t>
  </si>
  <si>
    <t>y</t>
  </si>
  <si>
    <t>dx</t>
  </si>
  <si>
    <t>dy</t>
  </si>
  <si>
    <t>Omega</t>
  </si>
  <si>
    <t>Increment</t>
  </si>
  <si>
    <t>degrees</t>
  </si>
  <si>
    <t>Finish</t>
  </si>
  <si>
    <t xml:space="preserve">Start </t>
  </si>
  <si>
    <t>A</t>
  </si>
  <si>
    <t>B</t>
  </si>
  <si>
    <t>C</t>
  </si>
  <si>
    <t>D</t>
  </si>
  <si>
    <t>Start X</t>
  </si>
  <si>
    <t>Start Y</t>
  </si>
  <si>
    <t>End X</t>
  </si>
  <si>
    <t>End Y</t>
  </si>
  <si>
    <t>Xmax</t>
  </si>
  <si>
    <t>Xmin</t>
  </si>
  <si>
    <t>Ymax</t>
  </si>
  <si>
    <t>omega (0 - 180 degrees)</t>
  </si>
  <si>
    <t>---</t>
  </si>
  <si>
    <t>was:</t>
  </si>
  <si>
    <t>Focus</t>
  </si>
  <si>
    <t>RR</t>
  </si>
  <si>
    <t>Fx (force)</t>
  </si>
  <si>
    <t>Fy (force)</t>
  </si>
  <si>
    <t>Rise</t>
  </si>
  <si>
    <t>Link</t>
  </si>
  <si>
    <t>Value</t>
  </si>
  <si>
    <t>Lengths</t>
  </si>
  <si>
    <t>#</t>
  </si>
  <si>
    <t>Omegafinish minus 0.01 prevents error at 180 degrees</t>
  </si>
  <si>
    <t>This calculation engine from 'Linkage_4_bar_analysis.xls' by Alex Slocum</t>
  </si>
  <si>
    <t>Element Table</t>
  </si>
  <si>
    <t>∡</t>
  </si>
  <si>
    <r>
      <t>Extension:</t>
    </r>
    <r>
      <rPr>
        <b/>
        <sz val="10"/>
        <color indexed="36"/>
        <rFont val="Calibri"/>
        <family val="2"/>
      </rPr>
      <t xml:space="preserve"> R</t>
    </r>
  </si>
  <si>
    <r>
      <t>Drop:</t>
    </r>
    <r>
      <rPr>
        <b/>
        <sz val="10"/>
        <color indexed="36"/>
        <rFont val="Calibri"/>
        <family val="2"/>
      </rPr>
      <t xml:space="preserve"> S</t>
    </r>
  </si>
  <si>
    <t>Degrees</t>
  </si>
  <si>
    <t>Rad</t>
  </si>
  <si>
    <t>Start r</t>
  </si>
  <si>
    <t>Start θ</t>
  </si>
  <si>
    <t>End r</t>
  </si>
  <si>
    <t>End θ</t>
  </si>
  <si>
    <t>Converted to Polar &amp; Rotated</t>
  </si>
  <si>
    <t>Rotation from Rise</t>
  </si>
  <si>
    <t>Back to Cartesian Coordinates</t>
  </si>
  <si>
    <t>As Entered</t>
  </si>
  <si>
    <t>cartesian rotated x</t>
  </si>
  <si>
    <t>cartesian rotated y</t>
  </si>
  <si>
    <t>polar rotated r</t>
  </si>
  <si>
    <t>polar rotated θ</t>
  </si>
  <si>
    <r>
      <t>Start Crank Angle:</t>
    </r>
    <r>
      <rPr>
        <sz val="10"/>
        <rFont val="Calibri"/>
        <family val="2"/>
      </rPr>
      <t xml:space="preserve"> </t>
    </r>
    <r>
      <rPr>
        <b/>
        <sz val="10"/>
        <color indexed="36"/>
        <rFont val="Calibri"/>
        <family val="2"/>
      </rPr>
      <t>Ω</t>
    </r>
  </si>
  <si>
    <r>
      <t xml:space="preserve">End Crank Angle: </t>
    </r>
    <r>
      <rPr>
        <b/>
        <sz val="10"/>
        <color indexed="36"/>
        <rFont val="Calibri"/>
        <family val="2"/>
      </rPr>
      <t>Ω</t>
    </r>
  </si>
  <si>
    <r>
      <t xml:space="preserve">Rear Bar Base Rise: </t>
    </r>
    <r>
      <rPr>
        <b/>
        <sz val="10"/>
        <color indexed="36"/>
        <rFont val="Calibri"/>
        <family val="2"/>
      </rPr>
      <t>Up</t>
    </r>
  </si>
  <si>
    <t>C (again)</t>
  </si>
  <si>
    <t>Rocker torque is like crank but divisor is delta (alpha2+alpha3)</t>
  </si>
  <si>
    <t>Formula is for crank, not rocker.</t>
  </si>
  <si>
    <t>"μ" is coefficient of friction -- not used here.</t>
  </si>
  <si>
    <t>Static Crank Torque</t>
  </si>
  <si>
    <t>drocker</t>
  </si>
  <si>
    <t>rocker</t>
  </si>
  <si>
    <t>front bar angle</t>
  </si>
  <si>
    <t>maxangle</t>
  </si>
  <si>
    <t>ABC</t>
  </si>
  <si>
    <t>domega:</t>
  </si>
  <si>
    <t>omegainc:</t>
  </si>
  <si>
    <t>trocker</t>
  </si>
  <si>
    <t>Calculates rocker angle, delta, and torque at each crank angle increment.</t>
  </si>
  <si>
    <t>Omega+</t>
  </si>
  <si>
    <t>Front Bar Max Angle</t>
  </si>
  <si>
    <r>
      <t>Weight on Lifter:</t>
    </r>
    <r>
      <rPr>
        <b/>
        <sz val="10"/>
        <rFont val="Calibri"/>
        <family val="2"/>
      </rPr>
      <t xml:space="preserve"> </t>
    </r>
    <r>
      <rPr>
        <b/>
        <sz val="10"/>
        <color indexed="36"/>
        <rFont val="Calibri"/>
        <family val="2"/>
      </rPr>
      <t>W</t>
    </r>
  </si>
  <si>
    <r>
      <t>Rear Bar [</t>
    </r>
    <r>
      <rPr>
        <sz val="10"/>
        <rFont val="Calibri"/>
        <family val="2"/>
      </rPr>
      <t>Crank</t>
    </r>
    <r>
      <rPr>
        <sz val="10"/>
        <rFont val="Calibri"/>
        <family val="2"/>
      </rPr>
      <t xml:space="preserve">]: </t>
    </r>
    <r>
      <rPr>
        <b/>
        <sz val="10"/>
        <color indexed="36"/>
        <rFont val="Calibri"/>
        <family val="2"/>
      </rPr>
      <t>B</t>
    </r>
  </si>
  <si>
    <r>
      <t>Top Bar [</t>
    </r>
    <r>
      <rPr>
        <sz val="10"/>
        <rFont val="Calibri"/>
        <family val="2"/>
      </rPr>
      <t>Connector</t>
    </r>
    <r>
      <rPr>
        <sz val="10"/>
        <rFont val="Calibri"/>
        <family val="2"/>
      </rPr>
      <t>]:</t>
    </r>
    <r>
      <rPr>
        <b/>
        <sz val="10"/>
        <rFont val="Calibri"/>
        <family val="2"/>
      </rPr>
      <t xml:space="preserve"> </t>
    </r>
    <r>
      <rPr>
        <b/>
        <sz val="10"/>
        <color indexed="36"/>
        <rFont val="Calibri"/>
        <family val="2"/>
      </rPr>
      <t>C</t>
    </r>
  </si>
  <si>
    <r>
      <t>Front Bar [</t>
    </r>
    <r>
      <rPr>
        <sz val="10"/>
        <rFont val="Calibri"/>
        <family val="2"/>
      </rPr>
      <t>Rocker</t>
    </r>
    <r>
      <rPr>
        <sz val="10"/>
        <rFont val="Calibri"/>
        <family val="2"/>
      </rPr>
      <t>]:</t>
    </r>
    <r>
      <rPr>
        <b/>
        <sz val="10"/>
        <rFont val="Calibri"/>
        <family val="2"/>
      </rPr>
      <t xml:space="preserve"> </t>
    </r>
    <r>
      <rPr>
        <b/>
        <sz val="10"/>
        <color indexed="36"/>
        <rFont val="Calibri"/>
        <family val="2"/>
      </rPr>
      <t>D</t>
    </r>
  </si>
  <si>
    <r>
      <t>Base [</t>
    </r>
    <r>
      <rPr>
        <sz val="10"/>
        <rFont val="Calibri"/>
        <family val="2"/>
      </rPr>
      <t>Frame]</t>
    </r>
    <r>
      <rPr>
        <sz val="10"/>
        <rFont val="Calibri"/>
        <family val="2"/>
      </rPr>
      <t>:</t>
    </r>
    <r>
      <rPr>
        <b/>
        <sz val="10"/>
        <rFont val="Calibri"/>
        <family val="2"/>
      </rPr>
      <t xml:space="preserve"> </t>
    </r>
    <r>
      <rPr>
        <b/>
        <sz val="10"/>
        <color indexed="36"/>
        <rFont val="Calibri"/>
        <family val="2"/>
      </rPr>
      <t>A</t>
    </r>
  </si>
  <si>
    <t>Calculations in the spreadsheet are driven by the crank angle, which is translated into a rocker angle in 100 increments over the range of crank movement. Altering the crank start and/or end angles may slightly alter the reported rocker rotation maximum angle, which in turn alters the reported torque requirement for a powered rocker at the end of travel. Just a rounding error.</t>
  </si>
  <si>
    <t xml:space="preserve"> </t>
  </si>
  <si>
    <t>Crank</t>
  </si>
  <si>
    <t xml:space="preserve">Crank </t>
  </si>
  <si>
    <t>Rocker</t>
  </si>
  <si>
    <t>Radians</t>
  </si>
  <si>
    <t>maxcrank</t>
  </si>
  <si>
    <t>Crank Angle</t>
  </si>
  <si>
    <t>Angle</t>
  </si>
  <si>
    <t>Dip Error</t>
  </si>
  <si>
    <t>Limit</t>
  </si>
  <si>
    <t>Xrange</t>
  </si>
  <si>
    <t>Yrange</t>
  </si>
  <si>
    <t>Ydot</t>
  </si>
  <si>
    <t>Xdot</t>
  </si>
  <si>
    <t>Ymin</t>
  </si>
  <si>
    <t>Active</t>
  </si>
  <si>
    <t>Square Up the Plot</t>
  </si>
</sst>
</file>

<file path=xl/styles.xml><?xml version="1.0" encoding="utf-8"?>
<styleSheet xmlns="http://schemas.openxmlformats.org/spreadsheetml/2006/main">
  <numFmts count="6">
    <numFmt numFmtId="167" formatCode="0.0000"/>
    <numFmt numFmtId="168" formatCode="0.000"/>
    <numFmt numFmtId="170" formatCode="0.000E+00"/>
    <numFmt numFmtId="171" formatCode="0.0"/>
    <numFmt numFmtId="172" formatCode="0.0000000"/>
    <numFmt numFmtId="204" formatCode="0.0000000000000000"/>
  </numFmts>
  <fonts count="54">
    <font>
      <sz val="10"/>
      <name val="Arial"/>
    </font>
    <font>
      <sz val="8"/>
      <name val="Times New Roman"/>
      <family val="1"/>
    </font>
    <font>
      <sz val="8"/>
      <name val="Arial"/>
      <family val="2"/>
    </font>
    <font>
      <sz val="9"/>
      <name val="Times New Roman"/>
      <family val="1"/>
    </font>
    <font>
      <sz val="10"/>
      <name val="Arial"/>
      <family val="2"/>
    </font>
    <font>
      <sz val="8"/>
      <color indexed="10"/>
      <name val="Arial"/>
      <family val="2"/>
    </font>
    <font>
      <sz val="8"/>
      <name val="Arial"/>
      <family val="2"/>
    </font>
    <font>
      <sz val="10"/>
      <name val="Arial"/>
      <family val="2"/>
    </font>
    <font>
      <sz val="9"/>
      <name val="Arial"/>
      <family val="2"/>
    </font>
    <font>
      <b/>
      <sz val="10"/>
      <name val="Calibri"/>
      <family val="2"/>
    </font>
    <font>
      <b/>
      <sz val="10"/>
      <color indexed="36"/>
      <name val="Calibri"/>
      <family val="2"/>
    </font>
    <font>
      <sz val="10"/>
      <name val="Calibri"/>
      <family val="2"/>
    </font>
    <font>
      <b/>
      <sz val="10"/>
      <color indexed="36"/>
      <name val="Calibri"/>
      <family val="2"/>
    </font>
    <font>
      <sz val="9"/>
      <color indexed="81"/>
      <name val="Tahoma"/>
      <family val="2"/>
    </font>
    <font>
      <b/>
      <sz val="9"/>
      <color indexed="81"/>
      <name val="Tahoma"/>
      <family val="2"/>
    </font>
    <font>
      <b/>
      <sz val="10"/>
      <color indexed="36"/>
      <name val="Calibri"/>
      <family val="2"/>
    </font>
    <font>
      <sz val="10"/>
      <name val="Calibri"/>
      <family val="2"/>
    </font>
    <font>
      <b/>
      <sz val="10"/>
      <name val="Calibri"/>
      <family val="2"/>
    </font>
    <font>
      <sz val="8"/>
      <name val="Tahoma"/>
      <family val="2"/>
    </font>
    <font>
      <sz val="8"/>
      <name val="Calibri"/>
      <family val="2"/>
      <scheme val="minor"/>
    </font>
    <font>
      <sz val="9"/>
      <name val="Calibri"/>
      <family val="2"/>
      <scheme val="minor"/>
    </font>
    <font>
      <sz val="10"/>
      <name val="Calibri"/>
      <family val="2"/>
      <scheme val="minor"/>
    </font>
    <font>
      <b/>
      <sz val="10"/>
      <name val="Calibri"/>
      <family val="2"/>
      <scheme val="minor"/>
    </font>
    <font>
      <b/>
      <sz val="10"/>
      <color indexed="10"/>
      <name val="Calibri"/>
      <family val="2"/>
      <scheme val="minor"/>
    </font>
    <font>
      <b/>
      <sz val="10"/>
      <color indexed="12"/>
      <name val="Calibri"/>
      <family val="2"/>
      <scheme val="minor"/>
    </font>
    <font>
      <b/>
      <sz val="9"/>
      <color rgb="FF002060"/>
      <name val="Calibri"/>
      <family val="2"/>
      <scheme val="minor"/>
    </font>
    <font>
      <b/>
      <sz val="10"/>
      <color rgb="FF00B050"/>
      <name val="Calibri"/>
      <family val="2"/>
      <scheme val="minor"/>
    </font>
    <font>
      <sz val="10"/>
      <color rgb="FF3C3C3C"/>
      <name val="Lucida Sans Unicode"/>
      <family val="2"/>
    </font>
    <font>
      <sz val="10"/>
      <color theme="0" tint="-0.34998626667073579"/>
      <name val="Calibri"/>
      <family val="2"/>
      <scheme val="minor"/>
    </font>
    <font>
      <b/>
      <sz val="10"/>
      <color theme="0" tint="-0.34998626667073579"/>
      <name val="Calibri"/>
      <family val="2"/>
      <scheme val="minor"/>
    </font>
    <font>
      <sz val="10"/>
      <color indexed="12"/>
      <name val="Calibri"/>
      <family val="2"/>
      <scheme val="minor"/>
    </font>
    <font>
      <b/>
      <sz val="10"/>
      <color theme="0" tint="-0.249977111117893"/>
      <name val="Calibri"/>
      <family val="2"/>
      <scheme val="minor"/>
    </font>
    <font>
      <sz val="8"/>
      <color theme="4" tint="-0.249977111117893"/>
      <name val="Calibri"/>
      <family val="2"/>
      <scheme val="minor"/>
    </font>
    <font>
      <sz val="8"/>
      <color rgb="FF7030A0"/>
      <name val="Calibri"/>
      <family val="2"/>
      <scheme val="minor"/>
    </font>
    <font>
      <sz val="8"/>
      <color theme="9" tint="-0.249977111117893"/>
      <name val="Calibri"/>
      <family val="2"/>
      <scheme val="minor"/>
    </font>
    <font>
      <sz val="8"/>
      <color indexed="10"/>
      <name val="Calibri"/>
      <family val="2"/>
      <scheme val="minor"/>
    </font>
    <font>
      <sz val="8"/>
      <color rgb="FFC00000"/>
      <name val="Calibri"/>
      <family val="2"/>
      <scheme val="minor"/>
    </font>
    <font>
      <sz val="8"/>
      <color rgb="FF00B0F0"/>
      <name val="Calibri"/>
      <family val="2"/>
      <scheme val="minor"/>
    </font>
    <font>
      <sz val="8"/>
      <color theme="4"/>
      <name val="Calibri"/>
      <family val="2"/>
      <scheme val="minor"/>
    </font>
    <font>
      <b/>
      <sz val="10"/>
      <color rgb="FF002060"/>
      <name val="Calibri"/>
      <family val="2"/>
      <scheme val="minor"/>
    </font>
    <font>
      <b/>
      <sz val="12"/>
      <color rgb="FF002060"/>
      <name val="Calibri"/>
      <family val="2"/>
      <scheme val="minor"/>
    </font>
    <font>
      <b/>
      <sz val="10"/>
      <color rgb="FFC00000"/>
      <name val="Calibri"/>
      <family val="2"/>
      <scheme val="minor"/>
    </font>
    <font>
      <b/>
      <sz val="8"/>
      <color theme="9" tint="-0.249977111117893"/>
      <name val="Calibri"/>
      <family val="2"/>
      <scheme val="minor"/>
    </font>
    <font>
      <sz val="8"/>
      <color theme="0" tint="-4.9989318521683403E-2"/>
      <name val="Arial"/>
      <family val="2"/>
    </font>
    <font>
      <sz val="8"/>
      <color theme="0" tint="-4.9989318521683403E-2"/>
      <name val="Calibri"/>
      <family val="2"/>
      <scheme val="minor"/>
    </font>
    <font>
      <sz val="11"/>
      <name val="Calibri"/>
      <family val="2"/>
      <scheme val="minor"/>
    </font>
    <font>
      <b/>
      <sz val="9"/>
      <color theme="9"/>
      <name val="Arial"/>
      <family val="2"/>
    </font>
    <font>
      <sz val="10"/>
      <color theme="0"/>
      <name val="Arial Black"/>
      <family val="2"/>
    </font>
    <font>
      <sz val="18"/>
      <color rgb="FF002060"/>
      <name val="Calibri"/>
      <family val="2"/>
      <scheme val="minor"/>
    </font>
    <font>
      <b/>
      <sz val="11"/>
      <color rgb="FF002060"/>
      <name val="Calibri"/>
      <family val="2"/>
      <scheme val="minor"/>
    </font>
    <font>
      <sz val="8"/>
      <color rgb="FF7030A0"/>
      <name val="Arial"/>
      <family val="2"/>
    </font>
    <font>
      <b/>
      <sz val="9"/>
      <color theme="4" tint="-0.249977111117893"/>
      <name val="Calibri"/>
      <family val="2"/>
      <scheme val="minor"/>
    </font>
    <font>
      <sz val="12"/>
      <color rgb="FF002060"/>
      <name val="Calibri"/>
      <family val="2"/>
    </font>
    <font>
      <sz val="10"/>
      <color rgb="FF002060"/>
      <name val="Arial"/>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rgb="FFF9F9F9"/>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theme="0" tint="-0.499984740745262"/>
      </top>
      <bottom style="thin">
        <color indexed="64"/>
      </bottom>
      <diagonal/>
    </border>
    <border>
      <left style="thin">
        <color indexed="64"/>
      </left>
      <right style="thin">
        <color indexed="64"/>
      </right>
      <top style="thin">
        <color indexed="64"/>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thin">
        <color indexed="64"/>
      </right>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thin">
        <color indexed="64"/>
      </left>
      <right/>
      <top style="thin">
        <color indexed="64"/>
      </top>
      <bottom style="medium">
        <color theme="0" tint="-0.499984740745262"/>
      </bottom>
      <diagonal/>
    </border>
    <border>
      <left/>
      <right/>
      <top style="thin">
        <color indexed="64"/>
      </top>
      <bottom style="medium">
        <color theme="0" tint="-0.499984740745262"/>
      </bottom>
      <diagonal/>
    </border>
    <border>
      <left/>
      <right style="thin">
        <color indexed="64"/>
      </right>
      <top style="thin">
        <color indexed="64"/>
      </top>
      <bottom style="medium">
        <color theme="0" tint="-0.499984740745262"/>
      </bottom>
      <diagonal/>
    </border>
    <border>
      <left style="medium">
        <color theme="0" tint="-0.499984740745262"/>
      </left>
      <right/>
      <top style="medium">
        <color theme="0" tint="-0.499984740745262"/>
      </top>
      <bottom style="thin">
        <color indexed="64"/>
      </bottom>
      <diagonal/>
    </border>
    <border>
      <left/>
      <right style="thin">
        <color indexed="64"/>
      </right>
      <top style="medium">
        <color theme="0" tint="-0.499984740745262"/>
      </top>
      <bottom style="thin">
        <color indexed="64"/>
      </bottom>
      <diagonal/>
    </border>
    <border>
      <left style="medium">
        <color theme="0" tint="-0.499984740745262"/>
      </left>
      <right/>
      <top style="thin">
        <color indexed="64"/>
      </top>
      <bottom style="thin">
        <color indexed="64"/>
      </bottom>
      <diagonal/>
    </border>
    <border>
      <left style="thin">
        <color indexed="64"/>
      </left>
      <right style="medium">
        <color theme="0" tint="-0.499984740745262"/>
      </right>
      <top style="medium">
        <color theme="0" tint="-0.499984740745262"/>
      </top>
      <bottom/>
      <diagonal/>
    </border>
    <border>
      <left style="thin">
        <color indexed="64"/>
      </left>
      <right style="medium">
        <color theme="0" tint="-0.499984740745262"/>
      </right>
      <top/>
      <bottom style="medium">
        <color theme="0" tint="-0.499984740745262"/>
      </bottom>
      <diagonal/>
    </border>
    <border>
      <left style="thin">
        <color indexed="64"/>
      </left>
      <right style="medium">
        <color theme="0" tint="-0.499984740745262"/>
      </right>
      <top style="thin">
        <color indexed="64"/>
      </top>
      <bottom/>
      <diagonal/>
    </border>
    <border>
      <left style="thin">
        <color indexed="64"/>
      </left>
      <right style="medium">
        <color theme="0" tint="-0.499984740745262"/>
      </right>
      <top/>
      <bottom/>
      <diagonal/>
    </border>
    <border>
      <left style="medium">
        <color theme="0" tint="-0.499984740745262"/>
      </left>
      <right/>
      <top style="thin">
        <color indexed="64"/>
      </top>
      <bottom style="medium">
        <color theme="0" tint="-0.499984740745262"/>
      </bottom>
      <diagonal/>
    </border>
  </borders>
  <cellStyleXfs count="1">
    <xf numFmtId="0" fontId="0" fillId="2" borderId="0"/>
  </cellStyleXfs>
  <cellXfs count="183">
    <xf numFmtId="0" fontId="0" fillId="2" borderId="0" xfId="0"/>
    <xf numFmtId="0" fontId="1" fillId="2" borderId="0" xfId="0" applyFont="1"/>
    <xf numFmtId="11" fontId="1" fillId="2" borderId="0" xfId="0" applyNumberFormat="1" applyFont="1"/>
    <xf numFmtId="11" fontId="2" fillId="2" borderId="0" xfId="0" applyNumberFormat="1" applyFont="1"/>
    <xf numFmtId="0" fontId="2" fillId="2" borderId="0" xfId="0" applyFont="1"/>
    <xf numFmtId="0" fontId="3" fillId="2" borderId="0" xfId="0" applyFont="1" applyBorder="1" applyAlignment="1">
      <alignment horizontal="left"/>
    </xf>
    <xf numFmtId="0" fontId="5" fillId="2" borderId="0" xfId="0" applyFont="1"/>
    <xf numFmtId="0" fontId="19" fillId="2" borderId="0" xfId="0" applyFont="1"/>
    <xf numFmtId="0" fontId="20" fillId="2" borderId="0" xfId="0" applyFont="1" applyBorder="1" applyAlignment="1">
      <alignment horizontal="left"/>
    </xf>
    <xf numFmtId="0" fontId="21" fillId="0" borderId="1" xfId="0" applyFont="1" applyFill="1" applyBorder="1" applyAlignment="1">
      <alignment horizontal="right"/>
    </xf>
    <xf numFmtId="0" fontId="21" fillId="2" borderId="0" xfId="0" applyFont="1" applyFill="1" applyBorder="1"/>
    <xf numFmtId="0" fontId="22" fillId="2" borderId="0" xfId="0" applyFont="1"/>
    <xf numFmtId="0" fontId="21" fillId="2" borderId="0" xfId="0" applyFont="1"/>
    <xf numFmtId="2" fontId="23" fillId="2" borderId="0" xfId="0" applyNumberFormat="1" applyFont="1" applyBorder="1"/>
    <xf numFmtId="0" fontId="24" fillId="2" borderId="0" xfId="0" applyFont="1" applyBorder="1" applyAlignment="1">
      <alignment horizontal="left"/>
    </xf>
    <xf numFmtId="11" fontId="23" fillId="0" borderId="0" xfId="0" applyNumberFormat="1" applyFont="1" applyFill="1" applyBorder="1"/>
    <xf numFmtId="0" fontId="23" fillId="0" borderId="0" xfId="0" applyNumberFormat="1" applyFont="1" applyFill="1" applyBorder="1"/>
    <xf numFmtId="0" fontId="8" fillId="2" borderId="0" xfId="0" applyFont="1" applyAlignment="1">
      <alignment vertical="center"/>
    </xf>
    <xf numFmtId="0" fontId="6" fillId="2" borderId="0" xfId="0" applyFont="1"/>
    <xf numFmtId="0" fontId="25" fillId="2" borderId="2" xfId="0" applyFont="1" applyBorder="1" applyAlignment="1"/>
    <xf numFmtId="0" fontId="25" fillId="2" borderId="0" xfId="0" applyFont="1" applyBorder="1" applyAlignment="1"/>
    <xf numFmtId="0" fontId="26" fillId="3" borderId="3" xfId="0" applyFont="1" applyFill="1" applyBorder="1" applyAlignment="1" applyProtection="1">
      <alignment horizontal="right" indent="1"/>
      <protection locked="0"/>
    </xf>
    <xf numFmtId="0" fontId="26" fillId="3" borderId="1" xfId="0" applyFont="1" applyFill="1" applyBorder="1" applyAlignment="1" applyProtection="1">
      <alignment horizontal="right" indent="1"/>
      <protection locked="0"/>
    </xf>
    <xf numFmtId="0" fontId="26" fillId="0" borderId="1" xfId="0" applyFont="1" applyFill="1" applyBorder="1" applyAlignment="1" applyProtection="1">
      <alignment horizontal="right" indent="1"/>
      <protection locked="0"/>
    </xf>
    <xf numFmtId="0" fontId="26" fillId="0" borderId="19" xfId="0" applyFont="1" applyFill="1" applyBorder="1" applyAlignment="1" applyProtection="1">
      <alignment horizontal="right" indent="1"/>
      <protection locked="0"/>
    </xf>
    <xf numFmtId="0" fontId="26" fillId="0" borderId="20" xfId="0" applyFont="1" applyFill="1" applyBorder="1" applyAlignment="1" applyProtection="1">
      <alignment horizontal="right" indent="1"/>
      <protection locked="0"/>
    </xf>
    <xf numFmtId="0" fontId="26" fillId="3" borderId="21" xfId="0" applyFont="1" applyFill="1" applyBorder="1" applyAlignment="1" applyProtection="1">
      <alignment horizontal="right" indent="1"/>
      <protection locked="0"/>
    </xf>
    <xf numFmtId="0" fontId="27" fillId="2" borderId="0" xfId="0" applyFont="1"/>
    <xf numFmtId="168" fontId="28" fillId="4" borderId="1" xfId="0" applyNumberFormat="1" applyFont="1" applyFill="1" applyBorder="1" applyAlignment="1">
      <alignment horizontal="center"/>
    </xf>
    <xf numFmtId="11" fontId="29" fillId="4" borderId="1" xfId="0" applyNumberFormat="1" applyFont="1" applyFill="1" applyBorder="1" applyAlignment="1">
      <alignment horizontal="center" vertical="center"/>
    </xf>
    <xf numFmtId="0" fontId="30" fillId="0" borderId="1" xfId="0" applyFont="1" applyFill="1" applyBorder="1" applyAlignment="1">
      <alignment horizontal="center"/>
    </xf>
    <xf numFmtId="0" fontId="30" fillId="0" borderId="4" xfId="0" applyFont="1" applyFill="1" applyBorder="1" applyAlignment="1">
      <alignment horizontal="center"/>
    </xf>
    <xf numFmtId="11" fontId="21" fillId="0" borderId="1" xfId="0" applyNumberFormat="1" applyFont="1" applyFill="1" applyBorder="1" applyAlignment="1">
      <alignment horizontal="center"/>
    </xf>
    <xf numFmtId="1" fontId="28" fillId="4" borderId="1" xfId="0" applyNumberFormat="1" applyFont="1" applyFill="1" applyBorder="1" applyAlignment="1">
      <alignment horizontal="center"/>
    </xf>
    <xf numFmtId="2" fontId="31" fillId="0" borderId="1" xfId="0" applyNumberFormat="1" applyFont="1" applyFill="1" applyBorder="1"/>
    <xf numFmtId="0" fontId="30" fillId="0" borderId="4" xfId="0" applyFont="1" applyFill="1" applyBorder="1" applyAlignment="1">
      <alignment horizontal="right" indent="1"/>
    </xf>
    <xf numFmtId="0" fontId="30" fillId="0" borderId="1" xfId="0" applyFont="1" applyFill="1" applyBorder="1" applyAlignment="1">
      <alignment horizontal="right" indent="1"/>
    </xf>
    <xf numFmtId="0" fontId="30" fillId="5" borderId="1" xfId="0" applyFont="1" applyFill="1" applyBorder="1" applyAlignment="1">
      <alignment horizontal="center"/>
    </xf>
    <xf numFmtId="0" fontId="11" fillId="2" borderId="0" xfId="0" applyFont="1"/>
    <xf numFmtId="2" fontId="32" fillId="6" borderId="5" xfId="0" applyNumberFormat="1" applyFont="1" applyFill="1" applyBorder="1"/>
    <xf numFmtId="2" fontId="32" fillId="6" borderId="6" xfId="0" applyNumberFormat="1" applyFont="1" applyFill="1" applyBorder="1"/>
    <xf numFmtId="2" fontId="32" fillId="6" borderId="6" xfId="0" applyNumberFormat="1" applyFont="1" applyFill="1" applyBorder="1" applyAlignment="1">
      <alignment horizontal="right"/>
    </xf>
    <xf numFmtId="11" fontId="32" fillId="6" borderId="6" xfId="0" applyNumberFormat="1" applyFont="1" applyFill="1" applyBorder="1" applyAlignment="1">
      <alignment horizontal="right"/>
    </xf>
    <xf numFmtId="2" fontId="32" fillId="6" borderId="7" xfId="0" applyNumberFormat="1" applyFont="1" applyFill="1" applyBorder="1"/>
    <xf numFmtId="2" fontId="32" fillId="6" borderId="2" xfId="0" applyNumberFormat="1" applyFont="1" applyFill="1" applyBorder="1"/>
    <xf numFmtId="2" fontId="32" fillId="6" borderId="0" xfId="0" applyNumberFormat="1" applyFont="1" applyFill="1" applyBorder="1"/>
    <xf numFmtId="2" fontId="32" fillId="6" borderId="0" xfId="0" applyNumberFormat="1" applyFont="1" applyFill="1" applyBorder="1" applyAlignment="1">
      <alignment horizontal="right"/>
    </xf>
    <xf numFmtId="11" fontId="32" fillId="6" borderId="0" xfId="0" applyNumberFormat="1" applyFont="1" applyFill="1" applyBorder="1" applyAlignment="1">
      <alignment horizontal="right"/>
    </xf>
    <xf numFmtId="2" fontId="32" fillId="6" borderId="8" xfId="0" applyNumberFormat="1" applyFont="1" applyFill="1" applyBorder="1"/>
    <xf numFmtId="2" fontId="32" fillId="6" borderId="9" xfId="0" applyNumberFormat="1" applyFont="1" applyFill="1" applyBorder="1"/>
    <xf numFmtId="2" fontId="32" fillId="6" borderId="10" xfId="0" applyNumberFormat="1" applyFont="1" applyFill="1" applyBorder="1"/>
    <xf numFmtId="2" fontId="32" fillId="6" borderId="10" xfId="0" applyNumberFormat="1" applyFont="1" applyFill="1" applyBorder="1" applyAlignment="1">
      <alignment horizontal="right"/>
    </xf>
    <xf numFmtId="11" fontId="32" fillId="6" borderId="10" xfId="0" applyNumberFormat="1" applyFont="1" applyFill="1" applyBorder="1" applyAlignment="1">
      <alignment horizontal="right"/>
    </xf>
    <xf numFmtId="2" fontId="32" fillId="6" borderId="11" xfId="0" applyNumberFormat="1" applyFont="1" applyFill="1" applyBorder="1"/>
    <xf numFmtId="0" fontId="30" fillId="0" borderId="1" xfId="0" applyFont="1" applyFill="1" applyBorder="1" applyAlignment="1">
      <alignment horizontal="right"/>
    </xf>
    <xf numFmtId="0" fontId="2" fillId="7" borderId="0" xfId="0" applyFont="1" applyFill="1"/>
    <xf numFmtId="0" fontId="19" fillId="7" borderId="0" xfId="0" applyFont="1" applyFill="1" applyAlignment="1">
      <alignment horizontal="right"/>
    </xf>
    <xf numFmtId="0" fontId="19" fillId="7" borderId="0" xfId="0" applyFont="1" applyFill="1"/>
    <xf numFmtId="0" fontId="33" fillId="7" borderId="0" xfId="0" applyFont="1" applyFill="1" applyAlignment="1">
      <alignment horizontal="left" indent="1"/>
    </xf>
    <xf numFmtId="0" fontId="32" fillId="7" borderId="0" xfId="0" applyFont="1" applyFill="1"/>
    <xf numFmtId="204" fontId="19" fillId="7" borderId="0" xfId="0" applyNumberFormat="1" applyFont="1" applyFill="1"/>
    <xf numFmtId="11" fontId="19" fillId="7" borderId="0" xfId="0" applyNumberFormat="1" applyFont="1" applyFill="1"/>
    <xf numFmtId="168" fontId="34" fillId="7" borderId="0" xfId="0" applyNumberFormat="1" applyFont="1" applyFill="1"/>
    <xf numFmtId="11" fontId="32" fillId="7" borderId="0" xfId="0" applyNumberFormat="1" applyFont="1" applyFill="1"/>
    <xf numFmtId="0" fontId="33" fillId="7" borderId="0" xfId="0" applyFont="1" applyFill="1" applyAlignment="1">
      <alignment horizontal="right"/>
    </xf>
    <xf numFmtId="0" fontId="33" fillId="7" borderId="0" xfId="0" applyFont="1" applyFill="1"/>
    <xf numFmtId="2" fontId="35" fillId="7" borderId="0" xfId="0" applyNumberFormat="1" applyFont="1" applyFill="1"/>
    <xf numFmtId="0" fontId="19" fillId="7" borderId="0" xfId="0" applyFont="1" applyFill="1" applyAlignment="1">
      <alignment horizontal="center"/>
    </xf>
    <xf numFmtId="11" fontId="19" fillId="7" borderId="0" xfId="0" applyNumberFormat="1" applyFont="1" applyFill="1" applyAlignment="1">
      <alignment horizontal="right"/>
    </xf>
    <xf numFmtId="0" fontId="19" fillId="7" borderId="0" xfId="0" applyFont="1" applyFill="1" applyAlignment="1">
      <alignment horizontal="right" indent="1"/>
    </xf>
    <xf numFmtId="168" fontId="36" fillId="7" borderId="0" xfId="0" applyNumberFormat="1" applyFont="1" applyFill="1"/>
    <xf numFmtId="171" fontId="36" fillId="7" borderId="0" xfId="0" applyNumberFormat="1" applyFont="1" applyFill="1"/>
    <xf numFmtId="168" fontId="33" fillId="7" borderId="0" xfId="0" applyNumberFormat="1" applyFont="1" applyFill="1"/>
    <xf numFmtId="11" fontId="36" fillId="7" borderId="0" xfId="0" applyNumberFormat="1" applyFont="1" applyFill="1"/>
    <xf numFmtId="171" fontId="34" fillId="7" borderId="0" xfId="0" applyNumberFormat="1" applyFont="1" applyFill="1"/>
    <xf numFmtId="168" fontId="35" fillId="7" borderId="0" xfId="0" applyNumberFormat="1" applyFont="1" applyFill="1"/>
    <xf numFmtId="0" fontId="6" fillId="7" borderId="0" xfId="0" applyFont="1" applyFill="1" applyAlignment="1">
      <alignment textRotation="90"/>
    </xf>
    <xf numFmtId="168" fontId="35" fillId="7" borderId="0" xfId="0" applyNumberFormat="1" applyFont="1" applyFill="1" applyAlignment="1">
      <alignment horizontal="center"/>
    </xf>
    <xf numFmtId="168" fontId="37" fillId="7" borderId="0" xfId="0" applyNumberFormat="1" applyFont="1" applyFill="1"/>
    <xf numFmtId="0" fontId="1" fillId="7" borderId="0" xfId="0" applyFont="1" applyFill="1"/>
    <xf numFmtId="11" fontId="1" fillId="7" borderId="0" xfId="0" applyNumberFormat="1" applyFont="1" applyFill="1"/>
    <xf numFmtId="0" fontId="0" fillId="7" borderId="0" xfId="0" applyFill="1"/>
    <xf numFmtId="0" fontId="19" fillId="6" borderId="4" xfId="0" applyFont="1" applyFill="1" applyBorder="1" applyAlignment="1">
      <alignment horizontal="right"/>
    </xf>
    <xf numFmtId="0" fontId="19" fillId="6" borderId="12" xfId="0" applyFont="1" applyFill="1" applyBorder="1" applyAlignment="1">
      <alignment horizontal="right"/>
    </xf>
    <xf numFmtId="0" fontId="19" fillId="6" borderId="13" xfId="0" applyFont="1" applyFill="1" applyBorder="1" applyAlignment="1">
      <alignment horizontal="right"/>
    </xf>
    <xf numFmtId="168" fontId="19" fillId="7" borderId="0" xfId="0" applyNumberFormat="1" applyFont="1" applyFill="1"/>
    <xf numFmtId="172" fontId="19" fillId="7" borderId="0" xfId="0" applyNumberFormat="1" applyFont="1" applyFill="1"/>
    <xf numFmtId="170" fontId="38" fillId="7" borderId="0" xfId="0" quotePrefix="1" applyNumberFormat="1" applyFont="1" applyFill="1" applyAlignment="1">
      <alignment horizontal="right"/>
    </xf>
    <xf numFmtId="11" fontId="35" fillId="7" borderId="0" xfId="0" applyNumberFormat="1" applyFont="1" applyFill="1"/>
    <xf numFmtId="0" fontId="7" fillId="7" borderId="0" xfId="0" applyFont="1" applyFill="1"/>
    <xf numFmtId="168" fontId="0" fillId="7" borderId="0" xfId="0" applyNumberFormat="1" applyFill="1"/>
    <xf numFmtId="0" fontId="2" fillId="7" borderId="0" xfId="0" applyFont="1" applyFill="1" applyAlignment="1">
      <alignment horizontal="right"/>
    </xf>
    <xf numFmtId="11" fontId="2" fillId="7" borderId="0" xfId="0" applyNumberFormat="1" applyFont="1" applyFill="1"/>
    <xf numFmtId="0" fontId="0" fillId="7" borderId="0" xfId="0" applyFill="1" applyAlignment="1">
      <alignment horizontal="right"/>
    </xf>
    <xf numFmtId="0" fontId="23" fillId="0" borderId="2" xfId="0" applyNumberFormat="1" applyFont="1" applyFill="1" applyBorder="1"/>
    <xf numFmtId="0" fontId="23" fillId="0" borderId="8" xfId="0" applyNumberFormat="1" applyFont="1" applyFill="1" applyBorder="1"/>
    <xf numFmtId="11" fontId="23" fillId="0" borderId="2" xfId="0" applyNumberFormat="1" applyFont="1" applyFill="1" applyBorder="1"/>
    <xf numFmtId="0" fontId="23" fillId="0" borderId="9" xfId="0" applyNumberFormat="1" applyFont="1" applyFill="1" applyBorder="1"/>
    <xf numFmtId="0" fontId="23" fillId="0" borderId="10" xfId="0" applyNumberFormat="1" applyFont="1" applyFill="1" applyBorder="1"/>
    <xf numFmtId="0" fontId="23" fillId="0" borderId="11" xfId="0" applyNumberFormat="1" applyFont="1" applyFill="1" applyBorder="1"/>
    <xf numFmtId="11" fontId="21" fillId="0" borderId="1" xfId="0" applyNumberFormat="1" applyFont="1" applyFill="1" applyBorder="1" applyAlignment="1">
      <alignment horizontal="right"/>
    </xf>
    <xf numFmtId="0" fontId="0" fillId="5" borderId="0" xfId="0" applyFill="1"/>
    <xf numFmtId="0" fontId="26" fillId="0" borderId="22" xfId="0" applyFont="1" applyFill="1" applyBorder="1" applyAlignment="1" applyProtection="1">
      <alignment horizontal="right" indent="1"/>
      <protection locked="0"/>
    </xf>
    <xf numFmtId="2" fontId="2" fillId="7" borderId="0" xfId="0" applyNumberFormat="1" applyFont="1" applyFill="1"/>
    <xf numFmtId="0" fontId="39" fillId="8" borderId="20" xfId="0" applyFont="1" applyFill="1" applyBorder="1" applyAlignment="1">
      <alignment horizontal="right" indent="1"/>
    </xf>
    <xf numFmtId="0" fontId="40" fillId="8" borderId="23" xfId="0" applyFont="1" applyFill="1" applyBorder="1" applyAlignment="1">
      <alignment horizontal="center" vertical="center"/>
    </xf>
    <xf numFmtId="171" fontId="41" fillId="0" borderId="1" xfId="0" applyNumberFormat="1" applyFont="1" applyFill="1" applyBorder="1"/>
    <xf numFmtId="2" fontId="41" fillId="0" borderId="1" xfId="0" applyNumberFormat="1" applyFont="1" applyFill="1" applyBorder="1"/>
    <xf numFmtId="11" fontId="41" fillId="0" borderId="1" xfId="0" applyNumberFormat="1" applyFont="1" applyFill="1" applyBorder="1"/>
    <xf numFmtId="171" fontId="41" fillId="0" borderId="1" xfId="0" applyNumberFormat="1" applyFont="1" applyFill="1" applyBorder="1" applyAlignment="1">
      <alignment horizontal="right"/>
    </xf>
    <xf numFmtId="2" fontId="41" fillId="0" borderId="1" xfId="0" applyNumberFormat="1" applyFont="1" applyFill="1" applyBorder="1" applyAlignment="1">
      <alignment horizontal="center"/>
    </xf>
    <xf numFmtId="0" fontId="41" fillId="0" borderId="1" xfId="0" applyNumberFormat="1" applyFont="1" applyFill="1" applyBorder="1" applyAlignment="1">
      <alignment horizontal="center"/>
    </xf>
    <xf numFmtId="171" fontId="41" fillId="0" borderId="1" xfId="0" applyNumberFormat="1" applyFont="1" applyFill="1" applyBorder="1" applyAlignment="1">
      <alignment horizontal="center"/>
    </xf>
    <xf numFmtId="167" fontId="41" fillId="0" borderId="1" xfId="0" applyNumberFormat="1" applyFont="1" applyFill="1" applyBorder="1" applyAlignment="1">
      <alignment horizontal="center"/>
    </xf>
    <xf numFmtId="0" fontId="4" fillId="5" borderId="0" xfId="0" applyFont="1" applyFill="1"/>
    <xf numFmtId="0" fontId="0" fillId="5" borderId="0" xfId="0" applyNumberFormat="1" applyFill="1"/>
    <xf numFmtId="0" fontId="42" fillId="7" borderId="0" xfId="0" applyFont="1" applyFill="1" applyAlignment="1">
      <alignment horizontal="center"/>
    </xf>
    <xf numFmtId="0" fontId="19" fillId="5" borderId="14" xfId="0" applyFont="1" applyFill="1" applyBorder="1" applyAlignment="1">
      <alignment horizontal="center"/>
    </xf>
    <xf numFmtId="2" fontId="32" fillId="5" borderId="14" xfId="0" applyNumberFormat="1" applyFont="1" applyFill="1" applyBorder="1" applyAlignment="1">
      <alignment horizontal="center"/>
    </xf>
    <xf numFmtId="2" fontId="32" fillId="5" borderId="3" xfId="0" applyNumberFormat="1" applyFont="1" applyFill="1" applyBorder="1" applyAlignment="1">
      <alignment horizontal="center"/>
    </xf>
    <xf numFmtId="0" fontId="43" fillId="2" borderId="0" xfId="0" applyFont="1"/>
    <xf numFmtId="0" fontId="44" fillId="2" borderId="0" xfId="0" applyFont="1" applyAlignment="1">
      <alignment horizontal="center"/>
    </xf>
    <xf numFmtId="2" fontId="23" fillId="0" borderId="0" xfId="0" applyNumberFormat="1" applyFont="1" applyFill="1" applyBorder="1"/>
    <xf numFmtId="11" fontId="23" fillId="0" borderId="10" xfId="0" applyNumberFormat="1" applyFont="1" applyFill="1" applyBorder="1"/>
    <xf numFmtId="0" fontId="30" fillId="0" borderId="3" xfId="0" applyFont="1" applyFill="1" applyBorder="1" applyAlignment="1">
      <alignment horizontal="center"/>
    </xf>
    <xf numFmtId="2" fontId="41" fillId="0" borderId="3" xfId="0" applyNumberFormat="1" applyFont="1" applyFill="1" applyBorder="1" applyAlignment="1">
      <alignment horizontal="center"/>
    </xf>
    <xf numFmtId="0" fontId="45" fillId="9" borderId="15" xfId="0" applyFont="1" applyFill="1" applyBorder="1" applyAlignment="1">
      <alignment horizontal="center"/>
    </xf>
    <xf numFmtId="1" fontId="41" fillId="0" borderId="15" xfId="0" applyNumberFormat="1" applyFont="1" applyFill="1" applyBorder="1" applyAlignment="1">
      <alignment horizontal="center"/>
    </xf>
    <xf numFmtId="0" fontId="46" fillId="7" borderId="9" xfId="0" applyFont="1" applyFill="1" applyBorder="1" applyAlignment="1">
      <alignment horizontal="center"/>
    </xf>
    <xf numFmtId="0" fontId="46" fillId="7" borderId="10" xfId="0" applyFont="1" applyFill="1" applyBorder="1" applyAlignment="1">
      <alignment horizontal="center"/>
    </xf>
    <xf numFmtId="0" fontId="46" fillId="7" borderId="11" xfId="0" applyFont="1" applyFill="1" applyBorder="1" applyAlignment="1">
      <alignment horizontal="center"/>
    </xf>
    <xf numFmtId="0" fontId="47" fillId="11" borderId="0" xfId="0" applyFont="1" applyFill="1" applyBorder="1" applyAlignment="1">
      <alignment horizontal="center"/>
    </xf>
    <xf numFmtId="0" fontId="46" fillId="7" borderId="5" xfId="0" applyFont="1" applyFill="1" applyBorder="1" applyAlignment="1">
      <alignment horizontal="center"/>
    </xf>
    <xf numFmtId="0" fontId="46" fillId="7" borderId="6" xfId="0" applyFont="1" applyFill="1" applyBorder="1" applyAlignment="1">
      <alignment horizontal="center"/>
    </xf>
    <xf numFmtId="0" fontId="46" fillId="7" borderId="7" xfId="0" applyFont="1" applyFill="1" applyBorder="1" applyAlignment="1">
      <alignment horizontal="center"/>
    </xf>
    <xf numFmtId="0" fontId="48" fillId="8" borderId="32" xfId="0" applyFont="1" applyFill="1" applyBorder="1" applyAlignment="1">
      <alignment horizontal="center" vertical="center"/>
    </xf>
    <xf numFmtId="0" fontId="48" fillId="8" borderId="33" xfId="0" applyFont="1" applyFill="1" applyBorder="1" applyAlignment="1">
      <alignment horizontal="center" vertical="center"/>
    </xf>
    <xf numFmtId="0" fontId="25" fillId="9" borderId="12" xfId="0" applyFont="1" applyFill="1" applyBorder="1" applyAlignment="1">
      <alignment horizontal="center"/>
    </xf>
    <xf numFmtId="0" fontId="25" fillId="9" borderId="13" xfId="0" applyFont="1" applyFill="1" applyBorder="1" applyAlignment="1">
      <alignment horizontal="center"/>
    </xf>
    <xf numFmtId="0" fontId="49" fillId="8" borderId="34" xfId="0" applyFont="1" applyFill="1" applyBorder="1" applyAlignment="1">
      <alignment horizontal="center" vertical="center" textRotation="90"/>
    </xf>
    <xf numFmtId="0" fontId="49" fillId="8" borderId="35" xfId="0" applyFont="1" applyFill="1" applyBorder="1" applyAlignment="1">
      <alignment horizontal="center" vertical="center" textRotation="90"/>
    </xf>
    <xf numFmtId="0" fontId="49" fillId="8" borderId="33" xfId="0" applyFont="1" applyFill="1" applyBorder="1" applyAlignment="1">
      <alignment horizontal="center" vertical="center" textRotation="90"/>
    </xf>
    <xf numFmtId="0" fontId="21" fillId="10" borderId="36" xfId="0" applyFont="1" applyFill="1" applyBorder="1" applyAlignment="1">
      <alignment horizontal="right" vertical="center" indent="1"/>
    </xf>
    <xf numFmtId="0" fontId="21" fillId="10" borderId="28" xfId="0" applyFont="1" applyFill="1" applyBorder="1" applyAlignment="1">
      <alignment horizontal="right" vertical="center" indent="1"/>
    </xf>
    <xf numFmtId="0" fontId="21" fillId="10" borderId="29" xfId="0" applyFont="1" applyFill="1" applyBorder="1" applyAlignment="1">
      <alignment horizontal="right" vertical="top" indent="1"/>
    </xf>
    <xf numFmtId="0" fontId="21" fillId="10" borderId="30" xfId="0" applyFont="1" applyFill="1" applyBorder="1" applyAlignment="1">
      <alignment horizontal="right" vertical="top" indent="1"/>
    </xf>
    <xf numFmtId="0" fontId="21" fillId="10" borderId="36" xfId="0" applyFont="1" applyFill="1" applyBorder="1" applyAlignment="1">
      <alignment horizontal="right" indent="1"/>
    </xf>
    <xf numFmtId="0" fontId="21" fillId="10" borderId="28" xfId="0" applyFont="1" applyFill="1" applyBorder="1" applyAlignment="1">
      <alignment horizontal="right" indent="1"/>
    </xf>
    <xf numFmtId="0" fontId="21" fillId="10" borderId="24" xfId="0" applyFont="1" applyFill="1" applyBorder="1" applyAlignment="1">
      <alignment horizontal="right" indent="1"/>
    </xf>
    <xf numFmtId="0" fontId="21" fillId="10" borderId="25" xfId="0" applyFont="1" applyFill="1" applyBorder="1" applyAlignment="1">
      <alignment horizontal="right" indent="1"/>
    </xf>
    <xf numFmtId="0" fontId="39" fillId="8" borderId="26" xfId="0" applyFont="1" applyFill="1" applyBorder="1" applyAlignment="1">
      <alignment horizontal="center" vertical="center"/>
    </xf>
    <xf numFmtId="0" fontId="39" fillId="8" borderId="27" xfId="0" applyFont="1" applyFill="1" applyBorder="1" applyAlignment="1">
      <alignment horizontal="center" vertical="center"/>
    </xf>
    <xf numFmtId="0" fontId="39" fillId="8" borderId="28" xfId="0" applyFont="1" applyFill="1" applyBorder="1" applyAlignment="1">
      <alignment horizontal="center" vertical="center"/>
    </xf>
    <xf numFmtId="0" fontId="21" fillId="10" borderId="29" xfId="0" applyFont="1" applyFill="1" applyBorder="1" applyAlignment="1">
      <alignment horizontal="right" indent="1"/>
    </xf>
    <xf numFmtId="0" fontId="21" fillId="10" borderId="30" xfId="0" applyFont="1" applyFill="1" applyBorder="1" applyAlignment="1">
      <alignment horizontal="right" indent="1"/>
    </xf>
    <xf numFmtId="0" fontId="21" fillId="10" borderId="31" xfId="0" applyFont="1" applyFill="1" applyBorder="1" applyAlignment="1">
      <alignment horizontal="right" indent="1"/>
    </xf>
    <xf numFmtId="0" fontId="21" fillId="10" borderId="13" xfId="0" applyFont="1" applyFill="1" applyBorder="1" applyAlignment="1">
      <alignment horizontal="right" indent="1"/>
    </xf>
    <xf numFmtId="0" fontId="50" fillId="7" borderId="0" xfId="0" applyFont="1" applyFill="1" applyAlignment="1">
      <alignment horizontal="center" vertical="top" textRotation="90"/>
    </xf>
    <xf numFmtId="0" fontId="51" fillId="6" borderId="5" xfId="0" applyNumberFormat="1" applyFont="1" applyFill="1" applyBorder="1" applyAlignment="1">
      <alignment horizontal="center" wrapText="1"/>
    </xf>
    <xf numFmtId="0" fontId="51" fillId="6" borderId="6" xfId="0" applyNumberFormat="1" applyFont="1" applyFill="1" applyBorder="1" applyAlignment="1">
      <alignment horizontal="center" wrapText="1"/>
    </xf>
    <xf numFmtId="0" fontId="51" fillId="6" borderId="7" xfId="0" applyNumberFormat="1" applyFont="1" applyFill="1" applyBorder="1" applyAlignment="1">
      <alignment horizontal="center" wrapText="1"/>
    </xf>
    <xf numFmtId="0" fontId="51" fillId="6" borderId="9" xfId="0" applyNumberFormat="1" applyFont="1" applyFill="1" applyBorder="1" applyAlignment="1">
      <alignment horizontal="center" wrapText="1"/>
    </xf>
    <xf numFmtId="0" fontId="51" fillId="6" borderId="10" xfId="0" applyNumberFormat="1" applyFont="1" applyFill="1" applyBorder="1" applyAlignment="1">
      <alignment horizontal="center" wrapText="1"/>
    </xf>
    <xf numFmtId="0" fontId="51" fillId="6" borderId="11" xfId="0" applyNumberFormat="1" applyFont="1" applyFill="1" applyBorder="1" applyAlignment="1">
      <alignment horizontal="center" wrapText="1"/>
    </xf>
    <xf numFmtId="0" fontId="51" fillId="5" borderId="16" xfId="0" applyNumberFormat="1" applyFont="1" applyFill="1" applyBorder="1" applyAlignment="1">
      <alignment horizontal="center" wrapText="1"/>
    </xf>
    <xf numFmtId="0" fontId="51" fillId="5" borderId="3" xfId="0" applyNumberFormat="1" applyFont="1" applyFill="1" applyBorder="1" applyAlignment="1">
      <alignment horizontal="center" wrapText="1"/>
    </xf>
    <xf numFmtId="0" fontId="52" fillId="7" borderId="5" xfId="0" applyFont="1" applyFill="1" applyBorder="1" applyAlignment="1">
      <alignment horizontal="left" vertical="top" wrapText="1" indent="1"/>
    </xf>
    <xf numFmtId="0" fontId="52" fillId="7" borderId="6" xfId="0" applyFont="1" applyFill="1" applyBorder="1" applyAlignment="1">
      <alignment horizontal="left" vertical="top" wrapText="1" indent="1"/>
    </xf>
    <xf numFmtId="0" fontId="52" fillId="7" borderId="7" xfId="0" applyFont="1" applyFill="1" applyBorder="1" applyAlignment="1">
      <alignment horizontal="left" vertical="top" wrapText="1" indent="1"/>
    </xf>
    <xf numFmtId="0" fontId="52" fillId="7" borderId="2" xfId="0" applyFont="1" applyFill="1" applyBorder="1" applyAlignment="1">
      <alignment horizontal="left" vertical="top" wrapText="1" indent="1"/>
    </xf>
    <xf numFmtId="0" fontId="52" fillId="7" borderId="0" xfId="0" applyFont="1" applyFill="1" applyBorder="1" applyAlignment="1">
      <alignment horizontal="left" vertical="top" wrapText="1" indent="1"/>
    </xf>
    <xf numFmtId="0" fontId="52" fillId="7" borderId="8" xfId="0" applyFont="1" applyFill="1" applyBorder="1" applyAlignment="1">
      <alignment horizontal="left" vertical="top" wrapText="1" indent="1"/>
    </xf>
    <xf numFmtId="0" fontId="52" fillId="7" borderId="9" xfId="0" applyFont="1" applyFill="1" applyBorder="1" applyAlignment="1">
      <alignment horizontal="left" vertical="top" wrapText="1" indent="1"/>
    </xf>
    <xf numFmtId="0" fontId="52" fillId="7" borderId="10" xfId="0" applyFont="1" applyFill="1" applyBorder="1" applyAlignment="1">
      <alignment horizontal="left" vertical="top" wrapText="1" indent="1"/>
    </xf>
    <xf numFmtId="0" fontId="52" fillId="7" borderId="11" xfId="0" applyFont="1" applyFill="1" applyBorder="1" applyAlignment="1">
      <alignment horizontal="left" vertical="top" wrapText="1" indent="1"/>
    </xf>
    <xf numFmtId="0" fontId="21" fillId="9" borderId="16" xfId="0" applyFont="1" applyFill="1" applyBorder="1" applyAlignment="1">
      <alignment horizontal="center" wrapText="1"/>
    </xf>
    <xf numFmtId="0" fontId="21" fillId="9" borderId="3" xfId="0" applyFont="1" applyFill="1" applyBorder="1" applyAlignment="1">
      <alignment horizontal="center" wrapText="1"/>
    </xf>
    <xf numFmtId="0" fontId="53" fillId="2" borderId="0" xfId="0" applyFont="1" applyAlignment="1">
      <alignment horizontal="center"/>
    </xf>
    <xf numFmtId="0" fontId="30" fillId="0" borderId="12" xfId="0" applyFont="1" applyFill="1" applyBorder="1" applyAlignment="1">
      <alignment horizontal="center"/>
    </xf>
    <xf numFmtId="0" fontId="30" fillId="7" borderId="0" xfId="0" applyFont="1" applyFill="1" applyBorder="1" applyAlignment="1">
      <alignment horizontal="center"/>
    </xf>
    <xf numFmtId="0" fontId="45" fillId="9" borderId="17" xfId="0" applyFont="1" applyFill="1" applyBorder="1" applyAlignment="1">
      <alignment horizontal="center"/>
    </xf>
    <xf numFmtId="0" fontId="21" fillId="9" borderId="18" xfId="0" applyFont="1" applyFill="1" applyBorder="1" applyAlignment="1">
      <alignment horizontal="center"/>
    </xf>
    <xf numFmtId="0" fontId="21" fillId="9" borderId="1" xfId="0" applyFont="1" applyFill="1" applyBorder="1" applyAlignment="1">
      <alignment horizontal="center"/>
    </xf>
  </cellXfs>
  <cellStyles count="1">
    <cellStyle name="Normal" xfId="0" builtinId="0"/>
  </cellStyles>
  <dxfs count="2">
    <dxf>
      <font>
        <b val="0"/>
        <i val="0"/>
        <color theme="0"/>
      </font>
      <fill>
        <patternFill>
          <bgColor rgb="FFC00000"/>
        </patternFill>
      </fill>
      <border>
        <left style="thin">
          <color indexed="64"/>
        </left>
        <right style="thin">
          <color indexed="64"/>
        </right>
        <top style="thin">
          <color indexed="64"/>
        </top>
        <bottom style="thin">
          <color indexed="64"/>
        </bottom>
      </border>
    </dxf>
    <dxf>
      <font>
        <b/>
        <i val="0"/>
        <color rgb="FFC0000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734354342408536"/>
          <c:y val="0.13272211882605583"/>
          <c:w val="0.82657058260533833"/>
          <c:h val="0.71475981865903127"/>
        </c:manualLayout>
      </c:layout>
      <c:scatterChart>
        <c:scatterStyle val="lineMarker"/>
        <c:ser>
          <c:idx val="0"/>
          <c:order val="0"/>
          <c:tx>
            <c:v>Start</c:v>
          </c:tx>
          <c:spPr>
            <a:ln w="31750" cap="rnd">
              <a:solidFill>
                <a:srgbClr val="7030A0"/>
              </a:solidFill>
              <a:round/>
            </a:ln>
            <a:effectLst/>
          </c:spPr>
          <c:marker>
            <c:symbol val="circle"/>
            <c:size val="5"/>
            <c:spPr>
              <a:solidFill>
                <a:srgbClr val="FFFFFF"/>
              </a:solidFill>
              <a:ln>
                <a:solidFill>
                  <a:srgbClr val="000000"/>
                </a:solidFill>
                <a:prstDash val="solid"/>
              </a:ln>
            </c:spPr>
          </c:marker>
          <c:dPt>
            <c:idx val="0"/>
            <c:marker>
              <c:spPr>
                <a:solidFill>
                  <a:srgbClr val="FF0000"/>
                </a:solidFill>
                <a:ln>
                  <a:solidFill>
                    <a:srgbClr val="000000"/>
                  </a:solidFill>
                  <a:prstDash val="solid"/>
                </a:ln>
              </c:spPr>
            </c:marker>
          </c:dPt>
          <c:dPt>
            <c:idx val="1"/>
          </c:dPt>
          <c:dPt>
            <c:idx val="2"/>
          </c:dPt>
          <c:dPt>
            <c:idx val="3"/>
          </c:dPt>
          <c:dPt>
            <c:idx val="4"/>
          </c:dPt>
          <c:xVal>
            <c:numRef>
              <c:f>Formulas!$T$16:$T$22</c:f>
              <c:numCache>
                <c:formatCode>0.00</c:formatCode>
                <c:ptCount val="7"/>
                <c:pt idx="0">
                  <c:v>-0.29161750588716862</c:v>
                </c:pt>
                <c:pt idx="1">
                  <c:v>-0.31258742570487275</c:v>
                </c:pt>
                <c:pt idx="2">
                  <c:v>3.0871205485458191</c:v>
                </c:pt>
                <c:pt idx="3">
                  <c:v>7.5867340438776223</c:v>
                </c:pt>
                <c:pt idx="4">
                  <c:v>5.6133971711788391</c:v>
                </c:pt>
                <c:pt idx="5" formatCode="General">
                  <c:v>0</c:v>
                </c:pt>
                <c:pt idx="6">
                  <c:v>3.0871205485458191</c:v>
                </c:pt>
              </c:numCache>
            </c:numRef>
          </c:xVal>
          <c:yVal>
            <c:numRef>
              <c:f>Formulas!$U$16:$U$22</c:f>
              <c:numCache>
                <c:formatCode>0.00</c:formatCode>
                <c:ptCount val="7"/>
                <c:pt idx="0">
                  <c:v>4.7236144506230095E-3</c:v>
                </c:pt>
                <c:pt idx="1">
                  <c:v>1.6045861905685992</c:v>
                </c:pt>
                <c:pt idx="2">
                  <c:v>1.6491472701812178</c:v>
                </c:pt>
                <c:pt idx="3">
                  <c:v>1.7081251696685071</c:v>
                </c:pt>
                <c:pt idx="4">
                  <c:v>0.9898344298929016</c:v>
                </c:pt>
                <c:pt idx="5" formatCode="General">
                  <c:v>0</c:v>
                </c:pt>
                <c:pt idx="6">
                  <c:v>1.6491472701812178</c:v>
                </c:pt>
              </c:numCache>
            </c:numRef>
          </c:yVal>
        </c:ser>
        <c:ser>
          <c:idx val="2"/>
          <c:order val="1"/>
          <c:tx>
            <c:v>End</c:v>
          </c:tx>
          <c:spPr>
            <a:ln w="31750" cap="rnd">
              <a:solidFill>
                <a:srgbClr val="00B050"/>
              </a:solidFill>
              <a:round/>
            </a:ln>
            <a:effectLst/>
          </c:spPr>
          <c:marker>
            <c:symbol val="circle"/>
            <c:size val="5"/>
            <c:spPr>
              <a:solidFill>
                <a:srgbClr val="FFFFFF"/>
              </a:solidFill>
              <a:ln>
                <a:solidFill>
                  <a:srgbClr val="000000"/>
                </a:solidFill>
                <a:prstDash val="solid"/>
              </a:ln>
            </c:spPr>
          </c:marker>
          <c:dPt>
            <c:idx val="0"/>
            <c:marker>
              <c:spPr>
                <a:solidFill>
                  <a:srgbClr val="FF0000"/>
                </a:solidFill>
                <a:ln>
                  <a:solidFill>
                    <a:srgbClr val="000000"/>
                  </a:solidFill>
                  <a:prstDash val="solid"/>
                </a:ln>
              </c:spPr>
            </c:marker>
          </c:dPt>
          <c:dPt>
            <c:idx val="1"/>
          </c:dPt>
          <c:dPt>
            <c:idx val="4"/>
          </c:dPt>
          <c:dPt>
            <c:idx val="5"/>
            <c:spPr>
              <a:ln w="34925" cap="rnd">
                <a:solidFill>
                  <a:schemeClr val="tx1"/>
                </a:solidFill>
                <a:round/>
              </a:ln>
              <a:effectLst/>
            </c:spPr>
          </c:dPt>
          <c:xVal>
            <c:numRef>
              <c:f>Formulas!$V$16:$V$22</c:f>
              <c:numCache>
                <c:formatCode>0.00</c:formatCode>
                <c:ptCount val="7"/>
                <c:pt idx="0">
                  <c:v>-4.2044369945013038</c:v>
                </c:pt>
                <c:pt idx="1">
                  <c:v>-3.6968681795633347</c:v>
                </c:pt>
                <c:pt idx="2">
                  <c:v>-0.47248341132940697</c:v>
                </c:pt>
                <c:pt idx="3">
                  <c:v>3.795084664274317</c:v>
                </c:pt>
                <c:pt idx="4">
                  <c:v>5.6133971711788391</c:v>
                </c:pt>
                <c:pt idx="5" formatCode="General">
                  <c:v>0</c:v>
                </c:pt>
                <c:pt idx="6">
                  <c:v>-0.47248341132940697</c:v>
                </c:pt>
              </c:numCache>
            </c:numRef>
          </c:xVal>
          <c:yVal>
            <c:numRef>
              <c:f>Formulas!$W$16:$W$22</c:f>
              <c:numCache>
                <c:formatCode>0.00</c:formatCode>
                <c:ptCount val="7"/>
                <c:pt idx="0">
                  <c:v>3.0291880485032547</c:v>
                </c:pt>
                <c:pt idx="1">
                  <c:v>4.5465455864956992</c:v>
                </c:pt>
                <c:pt idx="2">
                  <c:v>3.4679618547525184</c:v>
                </c:pt>
                <c:pt idx="3">
                  <c:v>2.0404245627394797</c:v>
                </c:pt>
                <c:pt idx="4">
                  <c:v>0.9898344298929016</c:v>
                </c:pt>
                <c:pt idx="5" formatCode="General">
                  <c:v>0</c:v>
                </c:pt>
                <c:pt idx="6">
                  <c:v>3.4679618547525184</c:v>
                </c:pt>
              </c:numCache>
            </c:numRef>
          </c:yVal>
        </c:ser>
        <c:ser>
          <c:idx val="1"/>
          <c:order val="2"/>
          <c:tx>
            <c:v>Focus</c:v>
          </c:tx>
          <c:spPr>
            <a:ln w="25400">
              <a:solidFill>
                <a:srgbClr val="FF0000"/>
              </a:solidFill>
              <a:prstDash val="solid"/>
            </a:ln>
          </c:spPr>
          <c:marker>
            <c:symbol val="none"/>
          </c:marker>
          <c:dPt>
            <c:idx val="0"/>
          </c:dPt>
          <c:dPt>
            <c:idx val="98"/>
          </c:dPt>
          <c:dPt>
            <c:idx val="99"/>
          </c:dPt>
          <c:xVal>
            <c:numRef>
              <c:f>Formulas!$L$9:$AF$9</c:f>
              <c:numCache>
                <c:formatCode>0.00</c:formatCode>
                <c:ptCount val="21"/>
                <c:pt idx="0">
                  <c:v>-0.29161750588716862</c:v>
                </c:pt>
                <c:pt idx="1">
                  <c:v>-0.36398407684092099</c:v>
                </c:pt>
                <c:pt idx="2">
                  <c:v>-0.47175646553723966</c:v>
                </c:pt>
                <c:pt idx="3">
                  <c:v>-0.61133102232632353</c:v>
                </c:pt>
                <c:pt idx="4">
                  <c:v>-0.77868882083758439</c:v>
                </c:pt>
                <c:pt idx="5">
                  <c:v>-0.96991397955370295</c:v>
                </c:pt>
                <c:pt idx="6">
                  <c:v>-1.1812860759493264</c:v>
                </c:pt>
                <c:pt idx="7">
                  <c:v>-1.409228504351389</c:v>
                </c:pt>
                <c:pt idx="8">
                  <c:v>-1.6502354794955152</c:v>
                </c:pt>
                <c:pt idx="9">
                  <c:v>-1.9008140605470294</c:v>
                </c:pt>
                <c:pt idx="10">
                  <c:v>-2.1574449890530105</c:v>
                </c:pt>
                <c:pt idx="11">
                  <c:v>-2.416556631195284</c:v>
                </c:pt>
                <c:pt idx="12">
                  <c:v>-2.6745045172446749</c:v>
                </c:pt>
                <c:pt idx="13">
                  <c:v>-2.9275491135116503</c:v>
                </c:pt>
                <c:pt idx="14">
                  <c:v>-3.1718247765806584</c:v>
                </c:pt>
                <c:pt idx="15">
                  <c:v>-3.4032930596162934</c:v>
                </c:pt>
                <c:pt idx="16">
                  <c:v>-3.6176741118996789</c:v>
                </c:pt>
                <c:pt idx="17">
                  <c:v>-3.8103519781997712</c:v>
                </c:pt>
                <c:pt idx="18">
                  <c:v>-3.9762553914263896</c:v>
                </c:pt>
                <c:pt idx="19">
                  <c:v>-4.1097290403350408</c:v>
                </c:pt>
                <c:pt idx="20">
                  <c:v>-4.2044369945013038</c:v>
                </c:pt>
              </c:numCache>
            </c:numRef>
          </c:xVal>
          <c:yVal>
            <c:numRef>
              <c:f>Formulas!$L$10:$AF$10</c:f>
              <c:numCache>
                <c:formatCode>0.00</c:formatCode>
                <c:ptCount val="21"/>
                <c:pt idx="0">
                  <c:v>4.7236144506230095E-3</c:v>
                </c:pt>
                <c:pt idx="1">
                  <c:v>0.12639448737368073</c:v>
                </c:pt>
                <c:pt idx="2">
                  <c:v>0.28845108795774405</c:v>
                </c:pt>
                <c:pt idx="3">
                  <c:v>0.47536490053289965</c:v>
                </c:pt>
                <c:pt idx="4">
                  <c:v>0.67478918768462948</c:v>
                </c:pt>
                <c:pt idx="5">
                  <c:v>0.87763133067965471</c:v>
                </c:pt>
                <c:pt idx="6">
                  <c:v>1.0774309073408266</c:v>
                </c:pt>
                <c:pt idx="7">
                  <c:v>1.2697159205588824</c:v>
                </c:pt>
                <c:pt idx="8">
                  <c:v>1.4515224449755111</c:v>
                </c:pt>
                <c:pt idx="9">
                  <c:v>1.6210774277395517</c:v>
                </c:pt>
                <c:pt idx="10">
                  <c:v>1.7776022843043242</c:v>
                </c:pt>
                <c:pt idx="11">
                  <c:v>1.9211975591628461</c:v>
                </c:pt>
                <c:pt idx="12">
                  <c:v>2.0527796823166136</c:v>
                </c:pt>
                <c:pt idx="13">
                  <c:v>2.1740496310481192</c:v>
                </c:pt>
                <c:pt idx="14">
                  <c:v>2.2874782636322228</c:v>
                </c:pt>
                <c:pt idx="15">
                  <c:v>2.3962942131673328</c:v>
                </c:pt>
                <c:pt idx="16">
                  <c:v>2.5044574336112313</c:v>
                </c:pt>
                <c:pt idx="17">
                  <c:v>2.6165942395008761</c:v>
                </c:pt>
                <c:pt idx="18">
                  <c:v>2.7378572617303658</c:v>
                </c:pt>
                <c:pt idx="19">
                  <c:v>2.8736563641687431</c:v>
                </c:pt>
                <c:pt idx="20">
                  <c:v>3.0291880485032547</c:v>
                </c:pt>
              </c:numCache>
            </c:numRef>
          </c:yVal>
          <c:smooth val="1"/>
        </c:ser>
        <c:ser>
          <c:idx val="3"/>
          <c:order val="3"/>
          <c:tx>
            <c:v>Square</c:v>
          </c:tx>
          <c:marker>
            <c:symbol val="plus"/>
            <c:size val="2"/>
          </c:marker>
          <c:xVal>
            <c:numRef>
              <c:f>Formulas!$Z$29</c:f>
              <c:numCache>
                <c:formatCode>0.0</c:formatCode>
                <c:ptCount val="1"/>
                <c:pt idx="0">
                  <c:v>6.6243731535528214</c:v>
                </c:pt>
              </c:numCache>
            </c:numRef>
          </c:xVal>
          <c:yVal>
            <c:numRef>
              <c:f>Formulas!$AB$29</c:f>
              <c:numCache>
                <c:formatCode>0.0</c:formatCode>
                <c:ptCount val="1"/>
                <c:pt idx="0">
                  <c:v>5.2</c:v>
                </c:pt>
              </c:numCache>
            </c:numRef>
          </c:yVal>
        </c:ser>
        <c:axId val="102544512"/>
        <c:axId val="102546432"/>
      </c:scatterChart>
      <c:valAx>
        <c:axId val="102544512"/>
        <c:scaling>
          <c:orientation val="minMax"/>
        </c:scaling>
        <c:axPos val="b"/>
        <c:majorGridlines>
          <c:spPr>
            <a:ln w="9525" cap="flat" cmpd="sng" algn="ctr">
              <a:solidFill>
                <a:schemeClr val="tx1">
                  <a:lumMod val="15000"/>
                  <a:lumOff val="85000"/>
                </a:schemeClr>
              </a:solidFill>
              <a:round/>
            </a:ln>
            <a:effectLst/>
          </c:spPr>
        </c:majorGridlines>
        <c:numFmt formatCode="0" sourceLinked="0"/>
        <c:majorTickMark val="none"/>
        <c:tickLblPos val="low"/>
        <c:spPr>
          <a:noFill/>
          <a:ln w="9525" cap="flat" cmpd="sng" algn="ctr">
            <a:solidFill>
              <a:schemeClr val="tx1">
                <a:lumMod val="25000"/>
                <a:lumOff val="75000"/>
              </a:schemeClr>
            </a:solidFill>
            <a:round/>
          </a:ln>
          <a:effectLst/>
        </c:spPr>
        <c:txPr>
          <a:bodyPr rot="0" vert="horz"/>
          <a:lstStyle/>
          <a:p>
            <a:pPr>
              <a:defRPr sz="1000" b="0" i="0" u="none" strike="noStrike" baseline="0">
                <a:solidFill>
                  <a:srgbClr val="333333"/>
                </a:solidFill>
                <a:latin typeface="Calibri"/>
                <a:ea typeface="Calibri"/>
                <a:cs typeface="Calibri"/>
              </a:defRPr>
            </a:pPr>
            <a:endParaRPr lang="en-US"/>
          </a:p>
        </c:txPr>
        <c:crossAx val="102546432"/>
        <c:crosses val="autoZero"/>
        <c:crossBetween val="midCat"/>
      </c:valAx>
      <c:valAx>
        <c:axId val="102546432"/>
        <c:scaling>
          <c:orientation val="minMax"/>
        </c:scaling>
        <c:axPos val="l"/>
        <c:majorGridlines>
          <c:spPr>
            <a:ln w="9525" cap="flat" cmpd="sng" algn="ctr">
              <a:solidFill>
                <a:schemeClr val="tx1">
                  <a:lumMod val="15000"/>
                  <a:lumOff val="85000"/>
                </a:schemeClr>
              </a:solidFill>
              <a:round/>
            </a:ln>
            <a:effectLst/>
          </c:spPr>
        </c:majorGridlines>
        <c:numFmt formatCode="General" sourceLinked="0"/>
        <c:majorTickMark val="none"/>
        <c:tickLblPos val="low"/>
        <c:spPr>
          <a:noFill/>
          <a:ln w="9525" cap="flat" cmpd="sng" algn="ctr">
            <a:solidFill>
              <a:schemeClr val="tx1">
                <a:lumMod val="25000"/>
                <a:lumOff val="75000"/>
              </a:schemeClr>
            </a:solidFill>
            <a:round/>
          </a:ln>
          <a:effectLst/>
        </c:spPr>
        <c:txPr>
          <a:bodyPr rot="0" vert="horz"/>
          <a:lstStyle/>
          <a:p>
            <a:pPr>
              <a:defRPr sz="1000" b="0" i="0" u="none" strike="noStrike" baseline="0">
                <a:solidFill>
                  <a:srgbClr val="333333"/>
                </a:solidFill>
                <a:latin typeface="Calibri"/>
                <a:ea typeface="Calibri"/>
                <a:cs typeface="Calibri"/>
              </a:defRPr>
            </a:pPr>
            <a:endParaRPr lang="en-US"/>
          </a:p>
        </c:txPr>
        <c:crossAx val="102544512"/>
        <c:crosses val="autoZero"/>
        <c:crossBetween val="midCat"/>
      </c:valAx>
      <c:spPr>
        <a:solidFill>
          <a:schemeClr val="bg1"/>
        </a:solidFill>
        <a:ln w="9525">
          <a:solidFill>
            <a:schemeClr val="tx1">
              <a:lumMod val="25000"/>
              <a:lumOff val="75000"/>
            </a:schemeClr>
          </a:solidFill>
        </a:ln>
      </c:spPr>
    </c:plotArea>
    <c:legend>
      <c:legendPos val="r"/>
      <c:legendEntry>
        <c:idx val="3"/>
        <c:delete val="1"/>
      </c:legendEntry>
      <c:layout>
        <c:manualLayout>
          <c:xMode val="edge"/>
          <c:yMode val="edge"/>
          <c:wMode val="edge"/>
          <c:hMode val="edge"/>
          <c:x val="0.76889059599257414"/>
          <c:y val="0.14492832626690896"/>
          <c:w val="0.92000186229492942"/>
          <c:h val="0.33797849788007273"/>
        </c:manualLayout>
      </c:layout>
      <c:spPr>
        <a:solidFill>
          <a:schemeClr val="bg1"/>
        </a:solidFill>
        <a:ln>
          <a:solidFill>
            <a:srgbClr val="0070C0"/>
          </a:solidFill>
        </a:ln>
        <a:effectLst/>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chart>
  <c:spPr>
    <a:solidFill>
      <a:schemeClr val="accent4">
        <a:lumMod val="20000"/>
        <a:lumOff val="80000"/>
      </a:schemeClr>
    </a:solidFill>
    <a:ln w="9525" cap="flat" cmpd="sng" algn="ctr">
      <a:solidFill>
        <a:schemeClr val="accent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Calibri"/>
                <a:ea typeface="Calibri"/>
                <a:cs typeface="Calibri"/>
              </a:defRPr>
            </a:pPr>
            <a:r>
              <a:t>Front Bar [Rocker] Torque to Hold Lifter Weight</a:t>
            </a:r>
          </a:p>
        </c:rich>
      </c:tx>
      <c:layout>
        <c:manualLayout>
          <c:xMode val="edge"/>
          <c:yMode val="edge"/>
          <c:x val="0.21713822405862634"/>
          <c:y val="2.6177395764460744E-2"/>
        </c:manualLayout>
      </c:layout>
      <c:overlay val="1"/>
    </c:title>
    <c:plotArea>
      <c:layout>
        <c:manualLayout>
          <c:layoutTarget val="inner"/>
          <c:xMode val="edge"/>
          <c:yMode val="edge"/>
          <c:x val="0.13268005869345073"/>
          <c:y val="0.13826019059445527"/>
          <c:w val="0.72878893091119523"/>
          <c:h val="0.6705060254564954"/>
        </c:manualLayout>
      </c:layout>
      <c:scatterChart>
        <c:scatterStyle val="smoothMarker"/>
        <c:ser>
          <c:idx val="0"/>
          <c:order val="0"/>
          <c:tx>
            <c:v>Torque</c:v>
          </c:tx>
          <c:spPr>
            <a:ln w="31750" cap="rnd">
              <a:solidFill>
                <a:schemeClr val="accent1"/>
              </a:solidFill>
              <a:round/>
            </a:ln>
            <a:effectLst/>
          </c:spPr>
          <c:marker>
            <c:symbol val="none"/>
          </c:marker>
          <c:xVal>
            <c:numRef>
              <c:f>Data!$AA$4:$AA$104</c:f>
              <c:numCache>
                <c:formatCode>0.00</c:formatCode>
                <c:ptCount val="101"/>
                <c:pt idx="0">
                  <c:v>18.110858959693065</c:v>
                </c:pt>
                <c:pt idx="1">
                  <c:v>18.682198318995432</c:v>
                </c:pt>
                <c:pt idx="2">
                  <c:v>19.27652574993105</c:v>
                </c:pt>
                <c:pt idx="3">
                  <c:v>19.892697804275095</c:v>
                </c:pt>
                <c:pt idx="4">
                  <c:v>20.529546239463752</c:v>
                </c:pt>
                <c:pt idx="5">
                  <c:v>21.185894341115205</c:v>
                </c:pt>
                <c:pt idx="6">
                  <c:v>21.860571073096672</c:v>
                </c:pt>
                <c:pt idx="7">
                  <c:v>22.55242294939184</c:v>
                </c:pt>
                <c:pt idx="8">
                  <c:v>23.260323653846648</c:v>
                </c:pt>
                <c:pt idx="9">
                  <c:v>23.983181532275143</c:v>
                </c:pt>
                <c:pt idx="10">
                  <c:v>24.7199451475954</c:v>
                </c:pt>
                <c:pt idx="11">
                  <c:v>25.469607126705405</c:v>
                </c:pt>
                <c:pt idx="12">
                  <c:v>26.231206543034645</c:v>
                </c:pt>
                <c:pt idx="13">
                  <c:v>27.003830076830983</c:v>
                </c:pt>
                <c:pt idx="14">
                  <c:v>27.786612181514169</c:v>
                </c:pt>
                <c:pt idx="15">
                  <c:v>28.578734463367137</c:v>
                </c:pt>
                <c:pt idx="16">
                  <c:v>29.379424456981731</c:v>
                </c:pt>
                <c:pt idx="17">
                  <c:v>30.187953952867815</c:v>
                </c:pt>
                <c:pt idx="18">
                  <c:v>31.00363700829168</c:v>
                </c:pt>
                <c:pt idx="19">
                  <c:v>31.825827748880243</c:v>
                </c:pt>
                <c:pt idx="20">
                  <c:v>32.653918047450148</c:v>
                </c:pt>
                <c:pt idx="21">
                  <c:v>33.48733514816395</c:v>
                </c:pt>
                <c:pt idx="22">
                  <c:v>34.325539288484329</c:v>
                </c:pt>
                <c:pt idx="23">
                  <c:v>35.16802135835237</c:v>
                </c:pt>
                <c:pt idx="24">
                  <c:v>36.014300625311591</c:v>
                </c:pt>
                <c:pt idx="25">
                  <c:v>36.863922545657424</c:v>
                </c:pt>
                <c:pt idx="26">
                  <c:v>37.716456674821842</c:v>
                </c:pt>
                <c:pt idx="27">
                  <c:v>38.571494684822298</c:v>
                </c:pt>
                <c:pt idx="28">
                  <c:v>39.428648492465406</c:v>
                </c:pt>
                <c:pt idx="29">
                  <c:v>40.28754849886365</c:v>
                </c:pt>
                <c:pt idx="30">
                  <c:v>41.147841938510645</c:v>
                </c:pt>
                <c:pt idx="31">
                  <c:v>42.009191334492982</c:v>
                </c:pt>
                <c:pt idx="32">
                  <c:v>42.871273055267295</c:v>
                </c:pt>
                <c:pt idx="33">
                  <c:v>43.733775967674795</c:v>
                </c:pt>
                <c:pt idx="34">
                  <c:v>44.596400180417071</c:v>
                </c:pt>
                <c:pt idx="35">
                  <c:v>45.458855872001273</c:v>
                </c:pt>
                <c:pt idx="36">
                  <c:v>46.320862197117904</c:v>
                </c:pt>
                <c:pt idx="37">
                  <c:v>47.18214626549625</c:v>
                </c:pt>
                <c:pt idx="38">
                  <c:v>48.042442187452735</c:v>
                </c:pt>
                <c:pt idx="39">
                  <c:v>48.901490180579614</c:v>
                </c:pt>
                <c:pt idx="40">
                  <c:v>49.759035732291963</c:v>
                </c:pt>
                <c:pt idx="41">
                  <c:v>50.614828813244088</c:v>
                </c:pt>
                <c:pt idx="42">
                  <c:v>51.468623136931022</c:v>
                </c:pt>
                <c:pt idx="43">
                  <c:v>52.320175461096603</c:v>
                </c:pt>
                <c:pt idx="44">
                  <c:v>53.169244926869894</c:v>
                </c:pt>
                <c:pt idx="45">
                  <c:v>54.015592431843181</c:v>
                </c:pt>
                <c:pt idx="46">
                  <c:v>54.858980033585937</c:v>
                </c:pt>
                <c:pt idx="47">
                  <c:v>55.699170380352371</c:v>
                </c:pt>
                <c:pt idx="48">
                  <c:v>56.53592616599277</c:v>
                </c:pt>
                <c:pt idx="49">
                  <c:v>57.369009606314798</c:v>
                </c:pt>
                <c:pt idx="50">
                  <c:v>58.198181934361422</c:v>
                </c:pt>
                <c:pt idx="51">
                  <c:v>59.023202912280553</c:v>
                </c:pt>
                <c:pt idx="52">
                  <c:v>59.843830357656344</c:v>
                </c:pt>
                <c:pt idx="53">
                  <c:v>60.659819682353032</c:v>
                </c:pt>
                <c:pt idx="54">
                  <c:v>61.470923442096797</c:v>
                </c:pt>
                <c:pt idx="55">
                  <c:v>62.276890895181168</c:v>
                </c:pt>
                <c:pt idx="56">
                  <c:v>63.077467568838976</c:v>
                </c:pt>
                <c:pt idx="57">
                  <c:v>63.872394831970162</c:v>
                </c:pt>
                <c:pt idx="58">
                  <c:v>64.661409473059322</c:v>
                </c:pt>
                <c:pt idx="59">
                  <c:v>65.444243282256778</c:v>
                </c:pt>
                <c:pt idx="60">
                  <c:v>66.220622636735442</c:v>
                </c:pt>
                <c:pt idx="61">
                  <c:v>66.990268088572833</c:v>
                </c:pt>
                <c:pt idx="62">
                  <c:v>67.752893954548497</c:v>
                </c:pt>
                <c:pt idx="63">
                  <c:v>68.508207907388311</c:v>
                </c:pt>
                <c:pt idx="64">
                  <c:v>69.255910568134553</c:v>
                </c:pt>
                <c:pt idx="65">
                  <c:v>69.995695099476151</c:v>
                </c:pt>
                <c:pt idx="66">
                  <c:v>70.727246800033171</c:v>
                </c:pt>
                <c:pt idx="67">
                  <c:v>71.450242699765056</c:v>
                </c:pt>
                <c:pt idx="68">
                  <c:v>72.164351156856895</c:v>
                </c:pt>
                <c:pt idx="69">
                  <c:v>72.8692314566362</c:v>
                </c:pt>
                <c:pt idx="70">
                  <c:v>73.564533413292139</c:v>
                </c:pt>
                <c:pt idx="71">
                  <c:v>74.249896975404084</c:v>
                </c:pt>
                <c:pt idx="72">
                  <c:v>74.924951836542732</c:v>
                </c:pt>
                <c:pt idx="73">
                  <c:v>75.589317052489861</c:v>
                </c:pt>
                <c:pt idx="74">
                  <c:v>76.242600666931367</c:v>
                </c:pt>
                <c:pt idx="75">
                  <c:v>76.884399347813158</c:v>
                </c:pt>
                <c:pt idx="76">
                  <c:v>77.514298036920536</c:v>
                </c:pt>
                <c:pt idx="77">
                  <c:v>78.131869615643112</c:v>
                </c:pt>
                <c:pt idx="78">
                  <c:v>78.73667459032778</c:v>
                </c:pt>
                <c:pt idx="79">
                  <c:v>79.3282608011001</c:v>
                </c:pt>
                <c:pt idx="80">
                  <c:v>79.906163158554207</c:v>
                </c:pt>
                <c:pt idx="81">
                  <c:v>80.469903413271709</c:v>
                </c:pt>
                <c:pt idx="82">
                  <c:v>81.01898996373734</c:v>
                </c:pt>
                <c:pt idx="83">
                  <c:v>81.552917708865309</c:v>
                </c:pt>
                <c:pt idx="84">
                  <c:v>82.071167952044107</c:v>
                </c:pt>
                <c:pt idx="85">
                  <c:v>82.573208364341383</c:v>
                </c:pt>
                <c:pt idx="86">
                  <c:v>83.058493015280732</c:v>
                </c:pt>
                <c:pt idx="87">
                  <c:v>83.526462480410657</c:v>
                </c:pt>
                <c:pt idx="88">
                  <c:v>83.976544035716415</c:v>
                </c:pt>
                <c:pt idx="89">
                  <c:v>84.408151949776396</c:v>
                </c:pt>
                <c:pt idx="90">
                  <c:v>84.820687885419545</c:v>
                </c:pt>
                <c:pt idx="91">
                  <c:v>85.213541423484486</c:v>
                </c:pt>
                <c:pt idx="92">
                  <c:v>85.586090722094852</c:v>
                </c:pt>
                <c:pt idx="93">
                  <c:v>85.937703325625662</c:v>
                </c:pt>
                <c:pt idx="94">
                  <c:v>86.267737138211785</c:v>
                </c:pt>
                <c:pt idx="95">
                  <c:v>86.575541577209123</c:v>
                </c:pt>
                <c:pt idx="96">
                  <c:v>86.860458922421685</c:v>
                </c:pt>
                <c:pt idx="97">
                  <c:v>87.121825877107014</c:v>
                </c:pt>
                <c:pt idx="98">
                  <c:v>87.358975356717067</c:v>
                </c:pt>
                <c:pt idx="99">
                  <c:v>#N/A</c:v>
                </c:pt>
                <c:pt idx="100">
                  <c:v>#N/A</c:v>
                </c:pt>
              </c:numCache>
            </c:numRef>
          </c:xVal>
          <c:yVal>
            <c:numRef>
              <c:f>Data!$AC$4:$AC$104</c:f>
              <c:numCache>
                <c:formatCode>0.00</c:formatCode>
                <c:ptCount val="101"/>
                <c:pt idx="0">
                  <c:v>94.209384241307006</c:v>
                </c:pt>
                <c:pt idx="1">
                  <c:v>100.90627899015128</c:v>
                </c:pt>
                <c:pt idx="2">
                  <c:v>106.67106493217287</c:v>
                </c:pt>
                <c:pt idx="3">
                  <c:v>111.62852211757972</c:v>
                </c:pt>
                <c:pt idx="4">
                  <c:v>115.88381135219774</c:v>
                </c:pt>
                <c:pt idx="5">
                  <c:v>119.52599311319149</c:v>
                </c:pt>
                <c:pt idx="6">
                  <c:v>122.63085692371952</c:v>
                </c:pt>
                <c:pt idx="7">
                  <c:v>125.26314901532963</c:v>
                </c:pt>
                <c:pt idx="8">
                  <c:v>127.47839047233705</c:v>
                </c:pt>
                <c:pt idx="9">
                  <c:v>129.32437754814845</c:v>
                </c:pt>
                <c:pt idx="10">
                  <c:v>130.84237001968896</c:v>
                </c:pt>
                <c:pt idx="11">
                  <c:v>132.06812680069606</c:v>
                </c:pt>
                <c:pt idx="12">
                  <c:v>133.03272200078115</c:v>
                </c:pt>
                <c:pt idx="13">
                  <c:v>133.76325721529838</c:v>
                </c:pt>
                <c:pt idx="14">
                  <c:v>134.28343929899879</c:v>
                </c:pt>
                <c:pt idx="15">
                  <c:v>134.61408204095829</c:v>
                </c:pt>
                <c:pt idx="16">
                  <c:v>134.77351666108589</c:v>
                </c:pt>
                <c:pt idx="17">
                  <c:v>134.77794810243196</c:v>
                </c:pt>
                <c:pt idx="18">
                  <c:v>134.64174926855327</c:v>
                </c:pt>
                <c:pt idx="19">
                  <c:v>134.37772327138728</c:v>
                </c:pt>
                <c:pt idx="20">
                  <c:v>133.99731574233601</c:v>
                </c:pt>
                <c:pt idx="21">
                  <c:v>133.51080271596024</c:v>
                </c:pt>
                <c:pt idx="22">
                  <c:v>132.92744542986816</c:v>
                </c:pt>
                <c:pt idx="23">
                  <c:v>132.2556371685618</c:v>
                </c:pt>
                <c:pt idx="24">
                  <c:v>131.50300763900717</c:v>
                </c:pt>
                <c:pt idx="25">
                  <c:v>130.67652918119921</c:v>
                </c:pt>
                <c:pt idx="26">
                  <c:v>129.78261421563502</c:v>
                </c:pt>
                <c:pt idx="27">
                  <c:v>128.82717556081039</c:v>
                </c:pt>
                <c:pt idx="28">
                  <c:v>127.81570272089006</c:v>
                </c:pt>
                <c:pt idx="29">
                  <c:v>126.75331480722684</c:v>
                </c:pt>
                <c:pt idx="30">
                  <c:v>125.64481332385262</c:v>
                </c:pt>
                <c:pt idx="31">
                  <c:v>124.49472481250871</c:v>
                </c:pt>
                <c:pt idx="32">
                  <c:v>123.3073398434566</c:v>
                </c:pt>
                <c:pt idx="33">
                  <c:v>122.08674877675419</c:v>
                </c:pt>
                <c:pt idx="34">
                  <c:v>120.83686916213637</c:v>
                </c:pt>
                <c:pt idx="35">
                  <c:v>119.56147766591742</c:v>
                </c:pt>
                <c:pt idx="36">
                  <c:v>118.26422654698982</c:v>
                </c:pt>
                <c:pt idx="37">
                  <c:v>116.94867638412585</c:v>
                </c:pt>
                <c:pt idx="38">
                  <c:v>115.61830593564761</c:v>
                </c:pt>
                <c:pt idx="39">
                  <c:v>114.27653880061773</c:v>
                </c:pt>
                <c:pt idx="40">
                  <c:v>112.9267532259783</c:v>
                </c:pt>
                <c:pt idx="41">
                  <c:v>111.57230283128749</c:v>
                </c:pt>
                <c:pt idx="42">
                  <c:v>110.21653151292539</c:v>
                </c:pt>
                <c:pt idx="43">
                  <c:v>108.86278508028667</c:v>
                </c:pt>
                <c:pt idx="44">
                  <c:v>107.51442614651576</c:v>
                </c:pt>
                <c:pt idx="45">
                  <c:v>106.17485080069287</c:v>
                </c:pt>
                <c:pt idx="46">
                  <c:v>104.84749569803455</c:v>
                </c:pt>
                <c:pt idx="47">
                  <c:v>103.53585919873434</c:v>
                </c:pt>
                <c:pt idx="48">
                  <c:v>102.2435095860121</c:v>
                </c:pt>
                <c:pt idx="49">
                  <c:v>100.9741002339041</c:v>
                </c:pt>
                <c:pt idx="50">
                  <c:v>99.731387991189351</c:v>
                </c:pt>
                <c:pt idx="51">
                  <c:v>98.519242528739639</c:v>
                </c:pt>
                <c:pt idx="52">
                  <c:v>97.341670407016039</c:v>
                </c:pt>
                <c:pt idx="53">
                  <c:v>96.202825782415147</c:v>
                </c:pt>
                <c:pt idx="54">
                  <c:v>95.107034182409208</c:v>
                </c:pt>
                <c:pt idx="55">
                  <c:v>94.058812131444512</c:v>
                </c:pt>
                <c:pt idx="56">
                  <c:v>93.062885988199781</c:v>
                </c:pt>
                <c:pt idx="57">
                  <c:v>92.12422745255185</c:v>
                </c:pt>
                <c:pt idx="58">
                  <c:v>91.248070085820871</c:v>
                </c:pt>
                <c:pt idx="59">
                  <c:v>90.439947619205356</c:v>
                </c:pt>
                <c:pt idx="60">
                  <c:v>89.705725708194436</c:v>
                </c:pt>
                <c:pt idx="61">
                  <c:v>89.051641609533149</c:v>
                </c:pt>
                <c:pt idx="62">
                  <c:v>88.484349326530648</c:v>
                </c:pt>
                <c:pt idx="63">
                  <c:v>88.010966653974748</c:v>
                </c:pt>
                <c:pt idx="64">
                  <c:v>87.639139252245315</c:v>
                </c:pt>
                <c:pt idx="65">
                  <c:v>87.377094855499152</c:v>
                </c:pt>
                <c:pt idx="66">
                  <c:v>87.233729702276861</c:v>
                </c:pt>
                <c:pt idx="67">
                  <c:v>87.218680979931591</c:v>
                </c:pt>
                <c:pt idx="68">
                  <c:v>87.342436318110359</c:v>
                </c:pt>
                <c:pt idx="69">
                  <c:v>87.616440516555301</c:v>
                </c:pt>
                <c:pt idx="70">
                  <c:v>88.053238284435551</c:v>
                </c:pt>
                <c:pt idx="71">
                  <c:v>88.666617250216731</c:v>
                </c:pt>
                <c:pt idx="72">
                  <c:v>89.47180245835186</c:v>
                </c:pt>
                <c:pt idx="73">
                  <c:v>90.485661664702306</c:v>
                </c:pt>
                <c:pt idx="74">
                  <c:v>91.726967576034568</c:v>
                </c:pt>
                <c:pt idx="75">
                  <c:v>93.216701715994262</c:v>
                </c:pt>
                <c:pt idx="76">
                  <c:v>94.978415015342932</c:v>
                </c:pt>
                <c:pt idx="77">
                  <c:v>97.038667075340967</c:v>
                </c:pt>
                <c:pt idx="78">
                  <c:v>99.427565046805782</c:v>
                </c:pt>
                <c:pt idx="79">
                  <c:v>102.17940339040112</c:v>
                </c:pt>
                <c:pt idx="80">
                  <c:v>105.33346666195314</c:v>
                </c:pt>
                <c:pt idx="81">
                  <c:v>108.93501495270496</c:v>
                </c:pt>
                <c:pt idx="82">
                  <c:v>113.0365251892989</c:v>
                </c:pt>
                <c:pt idx="83">
                  <c:v>117.69921870334122</c:v>
                </c:pt>
                <c:pt idx="84">
                  <c:v>122.99506155621407</c:v>
                </c:pt>
                <c:pt idx="85">
                  <c:v>129.00926040593438</c:v>
                </c:pt>
                <c:pt idx="86">
                  <c:v>135.84356801145444</c:v>
                </c:pt>
                <c:pt idx="87">
                  <c:v>143.62057092213979</c:v>
                </c:pt>
                <c:pt idx="88">
                  <c:v>152.48941572706224</c:v>
                </c:pt>
                <c:pt idx="89">
                  <c:v>162.63354436106002</c:v>
                </c:pt>
                <c:pt idx="90">
                  <c:v>174.2812777693207</c:v>
                </c:pt>
                <c:pt idx="91">
                  <c:v>187.7205979542691</c:v>
                </c:pt>
                <c:pt idx="92">
                  <c:v>203.32020805074941</c:v>
                </c:pt>
                <c:pt idx="93">
                  <c:v>221.56014306684261</c:v>
                </c:pt>
                <c:pt idx="94">
                  <c:v>243.07755505683377</c:v>
                </c:pt>
                <c:pt idx="95">
                  <c:v>268.73703385529819</c:v>
                </c:pt>
                <c:pt idx="96">
                  <c:v>299.74249474104414</c:v>
                </c:pt>
                <c:pt idx="97">
                  <c:v>337.82234665046843</c:v>
                </c:pt>
                <c:pt idx="98">
                  <c:v>385.55072773640052</c:v>
                </c:pt>
                <c:pt idx="99">
                  <c:v>#N/A</c:v>
                </c:pt>
                <c:pt idx="100">
                  <c:v>#N/A</c:v>
                </c:pt>
              </c:numCache>
            </c:numRef>
          </c:yVal>
          <c:smooth val="1"/>
        </c:ser>
        <c:axId val="103289600"/>
        <c:axId val="103291520"/>
      </c:scatterChart>
      <c:scatterChart>
        <c:scatterStyle val="smoothMarker"/>
        <c:ser>
          <c:idx val="1"/>
          <c:order val="1"/>
          <c:tx>
            <c:v>Height</c:v>
          </c:tx>
          <c:spPr>
            <a:ln w="25400">
              <a:solidFill>
                <a:srgbClr val="FF0000"/>
              </a:solidFill>
              <a:prstDash val="solid"/>
            </a:ln>
          </c:spPr>
          <c:marker>
            <c:symbol val="none"/>
          </c:marker>
          <c:xVal>
            <c:numRef>
              <c:f>Formulas!$L$4:$AF$4</c:f>
              <c:numCache>
                <c:formatCode>0.0</c:formatCode>
                <c:ptCount val="21"/>
                <c:pt idx="0">
                  <c:v>18.110858959693065</c:v>
                </c:pt>
                <c:pt idx="1">
                  <c:v>21.185894341115205</c:v>
                </c:pt>
                <c:pt idx="2">
                  <c:v>24.7199451475954</c:v>
                </c:pt>
                <c:pt idx="3">
                  <c:v>28.578734463367137</c:v>
                </c:pt>
                <c:pt idx="4">
                  <c:v>32.653918047450148</c:v>
                </c:pt>
                <c:pt idx="5">
                  <c:v>36.863922545657424</c:v>
                </c:pt>
                <c:pt idx="6">
                  <c:v>41.147841938510645</c:v>
                </c:pt>
                <c:pt idx="7">
                  <c:v>45.458855872001273</c:v>
                </c:pt>
                <c:pt idx="8">
                  <c:v>49.759035732291963</c:v>
                </c:pt>
                <c:pt idx="9">
                  <c:v>54.015592431843181</c:v>
                </c:pt>
                <c:pt idx="10">
                  <c:v>58.198181934361422</c:v>
                </c:pt>
                <c:pt idx="11">
                  <c:v>62.276890895181168</c:v>
                </c:pt>
                <c:pt idx="12">
                  <c:v>66.220622636735442</c:v>
                </c:pt>
                <c:pt idx="13">
                  <c:v>69.995695099476151</c:v>
                </c:pt>
                <c:pt idx="14">
                  <c:v>73.564533413292139</c:v>
                </c:pt>
                <c:pt idx="15">
                  <c:v>76.884399347813158</c:v>
                </c:pt>
                <c:pt idx="16">
                  <c:v>79.906163158554207</c:v>
                </c:pt>
                <c:pt idx="17">
                  <c:v>82.573208364341383</c:v>
                </c:pt>
                <c:pt idx="18">
                  <c:v>84.820687885419545</c:v>
                </c:pt>
                <c:pt idx="19">
                  <c:v>86.575541577209123</c:v>
                </c:pt>
                <c:pt idx="20">
                  <c:v>#N/A</c:v>
                </c:pt>
              </c:numCache>
            </c:numRef>
          </c:xVal>
          <c:yVal>
            <c:numRef>
              <c:f>Formulas!$L$10:$AF$10</c:f>
              <c:numCache>
                <c:formatCode>0.00</c:formatCode>
                <c:ptCount val="21"/>
                <c:pt idx="0">
                  <c:v>4.7236144506230095E-3</c:v>
                </c:pt>
                <c:pt idx="1">
                  <c:v>0.12639448737368073</c:v>
                </c:pt>
                <c:pt idx="2">
                  <c:v>0.28845108795774405</c:v>
                </c:pt>
                <c:pt idx="3">
                  <c:v>0.47536490053289965</c:v>
                </c:pt>
                <c:pt idx="4">
                  <c:v>0.67478918768462948</c:v>
                </c:pt>
                <c:pt idx="5">
                  <c:v>0.87763133067965471</c:v>
                </c:pt>
                <c:pt idx="6">
                  <c:v>1.0774309073408266</c:v>
                </c:pt>
                <c:pt idx="7">
                  <c:v>1.2697159205588824</c:v>
                </c:pt>
                <c:pt idx="8">
                  <c:v>1.4515224449755111</c:v>
                </c:pt>
                <c:pt idx="9">
                  <c:v>1.6210774277395517</c:v>
                </c:pt>
                <c:pt idx="10">
                  <c:v>1.7776022843043242</c:v>
                </c:pt>
                <c:pt idx="11">
                  <c:v>1.9211975591628461</c:v>
                </c:pt>
                <c:pt idx="12">
                  <c:v>2.0527796823166136</c:v>
                </c:pt>
                <c:pt idx="13">
                  <c:v>2.1740496310481192</c:v>
                </c:pt>
                <c:pt idx="14">
                  <c:v>2.2874782636322228</c:v>
                </c:pt>
                <c:pt idx="15">
                  <c:v>2.3962942131673328</c:v>
                </c:pt>
                <c:pt idx="16">
                  <c:v>2.5044574336112313</c:v>
                </c:pt>
                <c:pt idx="17">
                  <c:v>2.6165942395008761</c:v>
                </c:pt>
                <c:pt idx="18">
                  <c:v>2.7378572617303658</c:v>
                </c:pt>
                <c:pt idx="19">
                  <c:v>2.8736563641687431</c:v>
                </c:pt>
                <c:pt idx="20">
                  <c:v>3.0291880485032547</c:v>
                </c:pt>
              </c:numCache>
            </c:numRef>
          </c:yVal>
          <c:smooth val="1"/>
        </c:ser>
        <c:axId val="103297792"/>
        <c:axId val="103299328"/>
      </c:scatterChart>
      <c:valAx>
        <c:axId val="103289600"/>
        <c:scaling>
          <c:orientation val="minMax"/>
        </c:scaling>
        <c:axPos val="b"/>
        <c:title>
          <c:tx>
            <c:rich>
              <a:bodyPr/>
              <a:lstStyle/>
              <a:p>
                <a:pPr>
                  <a:defRPr sz="1100" b="0" i="0" u="none" strike="noStrike" baseline="0">
                    <a:solidFill>
                      <a:srgbClr val="000000"/>
                    </a:solidFill>
                    <a:latin typeface="Calibri"/>
                    <a:ea typeface="Calibri"/>
                    <a:cs typeface="Calibri"/>
                  </a:defRPr>
                </a:pPr>
                <a:r>
                  <a:rPr lang="en-US" sz="1100" b="1" i="0" u="none" strike="noStrike" baseline="0">
                    <a:solidFill>
                      <a:srgbClr val="0066CC"/>
                    </a:solidFill>
                    <a:latin typeface="Calibri"/>
                    <a:cs typeface="Calibri"/>
                  </a:rPr>
                  <a:t>Front Bar </a:t>
                </a:r>
                <a:r>
                  <a:rPr lang="en-US" sz="1100" b="0" i="0" u="none" strike="noStrike" baseline="0">
                    <a:solidFill>
                      <a:srgbClr val="333333"/>
                    </a:solidFill>
                    <a:latin typeface="Calibri"/>
                    <a:cs typeface="Calibri"/>
                  </a:rPr>
                  <a:t>Rotation (Degrees)</a:t>
                </a:r>
              </a:p>
            </c:rich>
          </c:tx>
          <c:spPr>
            <a:noFill/>
            <a:ln w="25400">
              <a:noFill/>
            </a:ln>
          </c:spPr>
        </c:title>
        <c:numFmt formatCode="0" sourceLinked="0"/>
        <c:tickLblPos val="low"/>
        <c:spPr>
          <a:noFill/>
          <a:ln w="9525" cap="flat" cmpd="sng" algn="ctr">
            <a:solidFill>
              <a:schemeClr val="tx1">
                <a:lumMod val="25000"/>
                <a:lumOff val="75000"/>
              </a:schemeClr>
            </a:solidFill>
            <a:round/>
          </a:ln>
          <a:effectLst/>
        </c:spPr>
        <c:txPr>
          <a:bodyPr rot="0" vert="horz"/>
          <a:lstStyle/>
          <a:p>
            <a:pPr>
              <a:defRPr sz="1000" b="0" i="0" u="none" strike="noStrike" baseline="0">
                <a:solidFill>
                  <a:srgbClr val="333333"/>
                </a:solidFill>
                <a:latin typeface="Calibri"/>
                <a:ea typeface="Calibri"/>
                <a:cs typeface="Calibri"/>
              </a:defRPr>
            </a:pPr>
            <a:endParaRPr lang="en-US"/>
          </a:p>
        </c:txPr>
        <c:crossAx val="103291520"/>
        <c:crosses val="autoZero"/>
        <c:crossBetween val="midCat"/>
      </c:valAx>
      <c:valAx>
        <c:axId val="103291520"/>
        <c:scaling>
          <c:orientation val="minMax"/>
          <c:min val="0"/>
        </c:scaling>
        <c:axPos val="l"/>
        <c:majorGridlines>
          <c:spPr>
            <a:ln w="9525" cap="flat" cmpd="sng" algn="ctr">
              <a:solidFill>
                <a:schemeClr val="tx1">
                  <a:lumMod val="15000"/>
                  <a:lumOff val="85000"/>
                </a:schemeClr>
              </a:solidFill>
              <a:round/>
            </a:ln>
            <a:effectLst/>
          </c:spPr>
        </c:majorGridlines>
        <c:title>
          <c:tx>
            <c:rich>
              <a:bodyPr/>
              <a:lstStyle/>
              <a:p>
                <a:pPr>
                  <a:defRPr sz="1100" b="1" i="0" u="none" strike="noStrike" baseline="0">
                    <a:solidFill>
                      <a:srgbClr val="33CCCC"/>
                    </a:solidFill>
                    <a:latin typeface="Calibri"/>
                    <a:ea typeface="Calibri"/>
                    <a:cs typeface="Calibri"/>
                  </a:defRPr>
                </a:pPr>
                <a:r>
                  <a:t>Rocker Torque</a:t>
                </a:r>
              </a:p>
            </c:rich>
          </c:tx>
          <c:spPr>
            <a:noFill/>
            <a:ln w="25400">
              <a:noFill/>
            </a:ln>
          </c:spPr>
        </c:title>
        <c:numFmt formatCode="0" sourceLinked="0"/>
        <c:majorTickMark val="none"/>
        <c:tickLblPos val="nextTo"/>
        <c:spPr>
          <a:noFill/>
          <a:ln w="9525" cap="flat" cmpd="sng" algn="ctr">
            <a:solidFill>
              <a:schemeClr val="tx1">
                <a:lumMod val="25000"/>
                <a:lumOff val="75000"/>
              </a:schemeClr>
            </a:solidFill>
            <a:round/>
          </a:ln>
          <a:effectLst/>
        </c:spPr>
        <c:txPr>
          <a:bodyPr rot="0" vert="horz"/>
          <a:lstStyle/>
          <a:p>
            <a:pPr>
              <a:defRPr sz="1000" b="0" i="0" u="none" strike="noStrike" baseline="0">
                <a:solidFill>
                  <a:srgbClr val="333333"/>
                </a:solidFill>
                <a:latin typeface="Calibri"/>
                <a:ea typeface="Calibri"/>
                <a:cs typeface="Calibri"/>
              </a:defRPr>
            </a:pPr>
            <a:endParaRPr lang="en-US"/>
          </a:p>
        </c:txPr>
        <c:crossAx val="103289600"/>
        <c:crosses val="autoZero"/>
        <c:crossBetween val="midCat"/>
      </c:valAx>
      <c:valAx>
        <c:axId val="103297792"/>
        <c:scaling>
          <c:orientation val="minMax"/>
        </c:scaling>
        <c:delete val="1"/>
        <c:axPos val="b"/>
        <c:numFmt formatCode="0.0" sourceLinked="1"/>
        <c:tickLblPos val="none"/>
        <c:crossAx val="103299328"/>
        <c:crosses val="autoZero"/>
        <c:crossBetween val="midCat"/>
      </c:valAx>
      <c:valAx>
        <c:axId val="103299328"/>
        <c:scaling>
          <c:orientation val="minMax"/>
        </c:scaling>
        <c:axPos val="r"/>
        <c:title>
          <c:tx>
            <c:rich>
              <a:bodyPr/>
              <a:lstStyle/>
              <a:p>
                <a:pPr>
                  <a:defRPr sz="1100" b="1" i="0" u="none" strike="noStrike" baseline="0">
                    <a:solidFill>
                      <a:srgbClr val="FF6600"/>
                    </a:solidFill>
                    <a:latin typeface="Calibri"/>
                    <a:ea typeface="Calibri"/>
                    <a:cs typeface="Calibri"/>
                  </a:defRPr>
                </a:pPr>
                <a:r>
                  <a:t>Lift Height</a:t>
                </a:r>
              </a:p>
            </c:rich>
          </c:tx>
          <c:layout>
            <c:manualLayout>
              <c:xMode val="edge"/>
              <c:yMode val="edge"/>
              <c:x val="0.93173836438761981"/>
              <c:y val="0.3622956863216526"/>
            </c:manualLayout>
          </c:layout>
          <c:spPr>
            <a:noFill/>
            <a:ln w="25400">
              <a:noFill/>
            </a:ln>
          </c:spPr>
        </c:title>
        <c:numFmt formatCode="General" sourceLinked="0"/>
        <c:tickLblPos val="nextTo"/>
        <c:spPr>
          <a:noFill/>
          <a:ln w="9525" cap="flat" cmpd="sng" algn="ctr">
            <a:solidFill>
              <a:schemeClr val="tx1">
                <a:lumMod val="25000"/>
                <a:lumOff val="75000"/>
              </a:schemeClr>
            </a:solidFill>
            <a:round/>
          </a:ln>
          <a:effectLst/>
        </c:spPr>
        <c:txPr>
          <a:bodyPr rot="0" vert="horz"/>
          <a:lstStyle/>
          <a:p>
            <a:pPr>
              <a:defRPr sz="1000" b="1" i="0" u="none" strike="noStrike" baseline="0">
                <a:solidFill>
                  <a:srgbClr val="333333"/>
                </a:solidFill>
                <a:latin typeface="Calibri"/>
                <a:ea typeface="Calibri"/>
                <a:cs typeface="Calibri"/>
              </a:defRPr>
            </a:pPr>
            <a:endParaRPr lang="en-US"/>
          </a:p>
        </c:txPr>
        <c:crossAx val="103297792"/>
        <c:crosses val="max"/>
        <c:crossBetween val="midCat"/>
      </c:valAx>
      <c:spPr>
        <a:solidFill>
          <a:srgbClr val="FFFFFF"/>
        </a:solidFill>
        <a:ln w="25400">
          <a:noFill/>
        </a:ln>
      </c:spPr>
    </c:plotArea>
    <c:legend>
      <c:legendPos val="r"/>
      <c:layout>
        <c:manualLayout>
          <c:xMode val="edge"/>
          <c:yMode val="edge"/>
          <c:wMode val="edge"/>
          <c:hMode val="edge"/>
          <c:x val="0.51383404797172638"/>
          <c:y val="0.71684839013443935"/>
          <c:w val="0.84782619994282904"/>
          <c:h val="0.79211756927330657"/>
        </c:manualLayout>
      </c:layout>
      <c:spPr>
        <a:solidFill>
          <a:schemeClr val="bg1">
            <a:alpha val="75000"/>
          </a:schemeClr>
        </a:solidFill>
        <a:ln>
          <a:solidFill>
            <a:schemeClr val="accent5"/>
          </a:solidFill>
        </a:ln>
        <a:effectLst/>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chart>
  <c:spPr>
    <a:solidFill>
      <a:schemeClr val="accent1">
        <a:lumMod val="20000"/>
        <a:lumOff val="80000"/>
      </a:schemeClr>
    </a:solidFill>
    <a:ln w="9525" cap="flat" cmpd="sng" algn="ctr">
      <a:solidFill>
        <a:schemeClr val="accent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Calibri"/>
                <a:ea typeface="Calibri"/>
                <a:cs typeface="Calibri"/>
              </a:defRPr>
            </a:pPr>
            <a:r>
              <a:t>Rear Bar [Crank] Torque to Hold Lifter Weight</a:t>
            </a:r>
          </a:p>
        </c:rich>
      </c:tx>
      <c:layout>
        <c:manualLayout>
          <c:xMode val="edge"/>
          <c:yMode val="edge"/>
          <c:x val="0.20959373943287762"/>
          <c:y val="2.7971963274705601E-2"/>
        </c:manualLayout>
      </c:layout>
      <c:overlay val="1"/>
    </c:title>
    <c:plotArea>
      <c:layout>
        <c:manualLayout>
          <c:layoutTarget val="inner"/>
          <c:xMode val="edge"/>
          <c:yMode val="edge"/>
          <c:x val="0.13834178703122232"/>
          <c:y val="0.13814278591520146"/>
          <c:w val="0.73679704147411018"/>
          <c:h val="0.67065654427605148"/>
        </c:manualLayout>
      </c:layout>
      <c:scatterChart>
        <c:scatterStyle val="smoothMarker"/>
        <c:ser>
          <c:idx val="0"/>
          <c:order val="0"/>
          <c:tx>
            <c:v>Torque</c:v>
          </c:tx>
          <c:spPr>
            <a:ln w="31750" cap="rnd">
              <a:solidFill>
                <a:schemeClr val="accent1"/>
              </a:solidFill>
              <a:round/>
            </a:ln>
            <a:effectLst/>
          </c:spPr>
          <c:marker>
            <c:symbol val="none"/>
          </c:marker>
          <c:xVal>
            <c:numRef>
              <c:f>Formulas!$L$3:$AF$3</c:f>
              <c:numCache>
                <c:formatCode>0.0</c:formatCode>
                <c:ptCount val="21"/>
                <c:pt idx="0">
                  <c:v>10</c:v>
                </c:pt>
                <c:pt idx="1">
                  <c:v>16.5</c:v>
                </c:pt>
                <c:pt idx="2">
                  <c:v>22.998999999999999</c:v>
                </c:pt>
                <c:pt idx="3">
                  <c:v>29.497999999999994</c:v>
                </c:pt>
                <c:pt idx="4">
                  <c:v>35.996999999999993</c:v>
                </c:pt>
                <c:pt idx="5">
                  <c:v>42.495999999999995</c:v>
                </c:pt>
                <c:pt idx="6">
                  <c:v>48.99499999999999</c:v>
                </c:pt>
                <c:pt idx="7">
                  <c:v>55.493999999999993</c:v>
                </c:pt>
                <c:pt idx="8">
                  <c:v>61.993000000000016</c:v>
                </c:pt>
                <c:pt idx="9">
                  <c:v>68.492000000000047</c:v>
                </c:pt>
                <c:pt idx="10">
                  <c:v>74.991000000000085</c:v>
                </c:pt>
                <c:pt idx="11">
                  <c:v>81.490000000000109</c:v>
                </c:pt>
                <c:pt idx="12">
                  <c:v>87.989000000000132</c:v>
                </c:pt>
                <c:pt idx="13">
                  <c:v>94.488000000000184</c:v>
                </c:pt>
                <c:pt idx="14">
                  <c:v>100.98700000000021</c:v>
                </c:pt>
                <c:pt idx="15">
                  <c:v>107.48600000000023</c:v>
                </c:pt>
                <c:pt idx="16">
                  <c:v>113.98500000000026</c:v>
                </c:pt>
                <c:pt idx="17">
                  <c:v>120.48400000000024</c:v>
                </c:pt>
                <c:pt idx="18">
                  <c:v>126.9830000000002</c:v>
                </c:pt>
                <c:pt idx="19">
                  <c:v>133.48200000000017</c:v>
                </c:pt>
                <c:pt idx="20">
                  <c:v>140</c:v>
                </c:pt>
              </c:numCache>
            </c:numRef>
          </c:xVal>
          <c:yVal>
            <c:numRef>
              <c:f>Formulas!$L$13:$AF$13</c:f>
              <c:numCache>
                <c:formatCode>0.0</c:formatCode>
                <c:ptCount val="21"/>
                <c:pt idx="0">
                  <c:v>40.550582523342136</c:v>
                </c:pt>
                <c:pt idx="1">
                  <c:v>61.216480029385067</c:v>
                </c:pt>
                <c:pt idx="2">
                  <c:v>74.830862716470378</c:v>
                </c:pt>
                <c:pt idx="3">
                  <c:v>82.492907724860089</c:v>
                </c:pt>
                <c:pt idx="4">
                  <c:v>85.652532979628347</c:v>
                </c:pt>
                <c:pt idx="5">
                  <c:v>85.570887549706029</c:v>
                </c:pt>
                <c:pt idx="6">
                  <c:v>83.216386864232646</c:v>
                </c:pt>
                <c:pt idx="7">
                  <c:v>79.316146959375544</c:v>
                </c:pt>
                <c:pt idx="8">
                  <c:v>74.431109945006185</c:v>
                </c:pt>
                <c:pt idx="9">
                  <c:v>69.016692409224248</c:v>
                </c:pt>
                <c:pt idx="10">
                  <c:v>63.464774794101494</c:v>
                </c:pt>
                <c:pt idx="11">
                  <c:v>58.131133875445741</c:v>
                </c:pt>
                <c:pt idx="12">
                  <c:v>53.352727587969518</c:v>
                </c:pt>
                <c:pt idx="13">
                  <c:v>49.457763162074514</c:v>
                </c:pt>
                <c:pt idx="14">
                  <c:v>46.769820216268833</c:v>
                </c:pt>
                <c:pt idx="15">
                  <c:v>45.605695246814541</c:v>
                </c:pt>
                <c:pt idx="16">
                  <c:v>46.264911863796506</c:v>
                </c:pt>
                <c:pt idx="17">
                  <c:v>49.00674702138847</c:v>
                </c:pt>
                <c:pt idx="18">
                  <c:v>54.008408801713585</c:v>
                </c:pt>
                <c:pt idx="19">
                  <c:v>61.296261975951616</c:v>
                </c:pt>
                <c:pt idx="20">
                  <c:v>70.643356838118663</c:v>
                </c:pt>
              </c:numCache>
            </c:numRef>
          </c:yVal>
          <c:smooth val="1"/>
        </c:ser>
        <c:axId val="103371904"/>
        <c:axId val="103373824"/>
      </c:scatterChart>
      <c:scatterChart>
        <c:scatterStyle val="smoothMarker"/>
        <c:ser>
          <c:idx val="1"/>
          <c:order val="1"/>
          <c:tx>
            <c:v>Height</c:v>
          </c:tx>
          <c:spPr>
            <a:ln w="25400">
              <a:solidFill>
                <a:srgbClr val="FF0000"/>
              </a:solidFill>
              <a:prstDash val="solid"/>
            </a:ln>
          </c:spPr>
          <c:marker>
            <c:symbol val="none"/>
          </c:marker>
          <c:xVal>
            <c:numRef>
              <c:f>Formulas!$L$3:$AF$3</c:f>
              <c:numCache>
                <c:formatCode>0.0</c:formatCode>
                <c:ptCount val="21"/>
                <c:pt idx="0">
                  <c:v>10</c:v>
                </c:pt>
                <c:pt idx="1">
                  <c:v>16.5</c:v>
                </c:pt>
                <c:pt idx="2">
                  <c:v>22.998999999999999</c:v>
                </c:pt>
                <c:pt idx="3">
                  <c:v>29.497999999999994</c:v>
                </c:pt>
                <c:pt idx="4">
                  <c:v>35.996999999999993</c:v>
                </c:pt>
                <c:pt idx="5">
                  <c:v>42.495999999999995</c:v>
                </c:pt>
                <c:pt idx="6">
                  <c:v>48.99499999999999</c:v>
                </c:pt>
                <c:pt idx="7">
                  <c:v>55.493999999999993</c:v>
                </c:pt>
                <c:pt idx="8">
                  <c:v>61.993000000000016</c:v>
                </c:pt>
                <c:pt idx="9">
                  <c:v>68.492000000000047</c:v>
                </c:pt>
                <c:pt idx="10">
                  <c:v>74.991000000000085</c:v>
                </c:pt>
                <c:pt idx="11">
                  <c:v>81.490000000000109</c:v>
                </c:pt>
                <c:pt idx="12">
                  <c:v>87.989000000000132</c:v>
                </c:pt>
                <c:pt idx="13">
                  <c:v>94.488000000000184</c:v>
                </c:pt>
                <c:pt idx="14">
                  <c:v>100.98700000000021</c:v>
                </c:pt>
                <c:pt idx="15">
                  <c:v>107.48600000000023</c:v>
                </c:pt>
                <c:pt idx="16">
                  <c:v>113.98500000000026</c:v>
                </c:pt>
                <c:pt idx="17">
                  <c:v>120.48400000000024</c:v>
                </c:pt>
                <c:pt idx="18">
                  <c:v>126.9830000000002</c:v>
                </c:pt>
                <c:pt idx="19">
                  <c:v>133.48200000000017</c:v>
                </c:pt>
                <c:pt idx="20">
                  <c:v>140</c:v>
                </c:pt>
              </c:numCache>
            </c:numRef>
          </c:xVal>
          <c:yVal>
            <c:numRef>
              <c:f>Formulas!$L$10:$AF$10</c:f>
              <c:numCache>
                <c:formatCode>0.00</c:formatCode>
                <c:ptCount val="21"/>
                <c:pt idx="0">
                  <c:v>4.7236144506230095E-3</c:v>
                </c:pt>
                <c:pt idx="1">
                  <c:v>0.12639448737368073</c:v>
                </c:pt>
                <c:pt idx="2">
                  <c:v>0.28845108795774405</c:v>
                </c:pt>
                <c:pt idx="3">
                  <c:v>0.47536490053289965</c:v>
                </c:pt>
                <c:pt idx="4">
                  <c:v>0.67478918768462948</c:v>
                </c:pt>
                <c:pt idx="5">
                  <c:v>0.87763133067965471</c:v>
                </c:pt>
                <c:pt idx="6">
                  <c:v>1.0774309073408266</c:v>
                </c:pt>
                <c:pt idx="7">
                  <c:v>1.2697159205588824</c:v>
                </c:pt>
                <c:pt idx="8">
                  <c:v>1.4515224449755111</c:v>
                </c:pt>
                <c:pt idx="9">
                  <c:v>1.6210774277395517</c:v>
                </c:pt>
                <c:pt idx="10">
                  <c:v>1.7776022843043242</c:v>
                </c:pt>
                <c:pt idx="11">
                  <c:v>1.9211975591628461</c:v>
                </c:pt>
                <c:pt idx="12">
                  <c:v>2.0527796823166136</c:v>
                </c:pt>
                <c:pt idx="13">
                  <c:v>2.1740496310481192</c:v>
                </c:pt>
                <c:pt idx="14">
                  <c:v>2.2874782636322228</c:v>
                </c:pt>
                <c:pt idx="15">
                  <c:v>2.3962942131673328</c:v>
                </c:pt>
                <c:pt idx="16">
                  <c:v>2.5044574336112313</c:v>
                </c:pt>
                <c:pt idx="17">
                  <c:v>2.6165942395008761</c:v>
                </c:pt>
                <c:pt idx="18">
                  <c:v>2.7378572617303658</c:v>
                </c:pt>
                <c:pt idx="19">
                  <c:v>2.8736563641687431</c:v>
                </c:pt>
                <c:pt idx="20">
                  <c:v>3.0291880485032547</c:v>
                </c:pt>
              </c:numCache>
            </c:numRef>
          </c:yVal>
          <c:smooth val="1"/>
        </c:ser>
        <c:axId val="103380096"/>
        <c:axId val="103381632"/>
      </c:scatterChart>
      <c:valAx>
        <c:axId val="103371904"/>
        <c:scaling>
          <c:orientation val="minMax"/>
        </c:scaling>
        <c:axPos val="b"/>
        <c:title>
          <c:tx>
            <c:rich>
              <a:bodyPr/>
              <a:lstStyle/>
              <a:p>
                <a:pPr>
                  <a:defRPr sz="1100" b="0" i="0" u="none" strike="noStrike" baseline="0">
                    <a:solidFill>
                      <a:srgbClr val="000000"/>
                    </a:solidFill>
                    <a:latin typeface="Calibri"/>
                    <a:ea typeface="Calibri"/>
                    <a:cs typeface="Calibri"/>
                  </a:defRPr>
                </a:pPr>
                <a:r>
                  <a:rPr lang="en-US" sz="1100" b="1" i="0" u="none" strike="noStrike" baseline="0">
                    <a:solidFill>
                      <a:srgbClr val="0066CC"/>
                    </a:solidFill>
                    <a:latin typeface="Calibri"/>
                    <a:cs typeface="Calibri"/>
                  </a:rPr>
                  <a:t>Rear Bar </a:t>
                </a:r>
                <a:r>
                  <a:rPr lang="en-US" sz="1100" b="0" i="0" u="none" strike="noStrike" baseline="0">
                    <a:solidFill>
                      <a:srgbClr val="333333"/>
                    </a:solidFill>
                    <a:latin typeface="Calibri"/>
                    <a:cs typeface="Calibri"/>
                  </a:rPr>
                  <a:t>Rotation (Degrees)</a:t>
                </a:r>
              </a:p>
            </c:rich>
          </c:tx>
          <c:spPr>
            <a:noFill/>
            <a:ln w="25400">
              <a:noFill/>
            </a:ln>
          </c:spPr>
        </c:title>
        <c:numFmt formatCode="0" sourceLinked="0"/>
        <c:tickLblPos val="low"/>
        <c:spPr>
          <a:noFill/>
          <a:ln w="9525" cap="flat" cmpd="sng" algn="ctr">
            <a:solidFill>
              <a:schemeClr val="tx1">
                <a:lumMod val="25000"/>
                <a:lumOff val="75000"/>
              </a:schemeClr>
            </a:solidFill>
            <a:round/>
          </a:ln>
          <a:effectLst/>
        </c:spPr>
        <c:txPr>
          <a:bodyPr rot="0" vert="horz"/>
          <a:lstStyle/>
          <a:p>
            <a:pPr>
              <a:defRPr sz="1000" b="0" i="0" u="none" strike="noStrike" baseline="0">
                <a:solidFill>
                  <a:srgbClr val="333333"/>
                </a:solidFill>
                <a:latin typeface="Calibri"/>
                <a:ea typeface="Calibri"/>
                <a:cs typeface="Calibri"/>
              </a:defRPr>
            </a:pPr>
            <a:endParaRPr lang="en-US"/>
          </a:p>
        </c:txPr>
        <c:crossAx val="103373824"/>
        <c:crosses val="autoZero"/>
        <c:crossBetween val="midCat"/>
      </c:valAx>
      <c:valAx>
        <c:axId val="103373824"/>
        <c:scaling>
          <c:orientation val="minMax"/>
          <c:min val="0"/>
        </c:scaling>
        <c:axPos val="l"/>
        <c:majorGridlines>
          <c:spPr>
            <a:ln w="9525" cap="flat" cmpd="sng" algn="ctr">
              <a:solidFill>
                <a:schemeClr val="tx1">
                  <a:lumMod val="15000"/>
                  <a:lumOff val="85000"/>
                </a:schemeClr>
              </a:solidFill>
              <a:round/>
            </a:ln>
            <a:effectLst/>
          </c:spPr>
        </c:majorGridlines>
        <c:title>
          <c:tx>
            <c:rich>
              <a:bodyPr/>
              <a:lstStyle/>
              <a:p>
                <a:pPr>
                  <a:defRPr sz="1100" b="1" i="0" u="none" strike="noStrike" baseline="0">
                    <a:solidFill>
                      <a:srgbClr val="33CCCC"/>
                    </a:solidFill>
                    <a:latin typeface="Calibri"/>
                    <a:ea typeface="Calibri"/>
                    <a:cs typeface="Calibri"/>
                  </a:defRPr>
                </a:pPr>
                <a:r>
                  <a:t>Crank Torque</a:t>
                </a:r>
              </a:p>
            </c:rich>
          </c:tx>
          <c:spPr>
            <a:noFill/>
            <a:ln w="25400">
              <a:noFill/>
            </a:ln>
          </c:spPr>
        </c:title>
        <c:numFmt formatCode="0" sourceLinked="0"/>
        <c:majorTickMark val="none"/>
        <c:tickLblPos val="nextTo"/>
        <c:spPr>
          <a:noFill/>
          <a:ln w="9525" cap="flat" cmpd="sng" algn="ctr">
            <a:solidFill>
              <a:schemeClr val="tx1">
                <a:lumMod val="25000"/>
                <a:lumOff val="75000"/>
              </a:schemeClr>
            </a:solidFill>
            <a:round/>
          </a:ln>
          <a:effectLst/>
        </c:spPr>
        <c:txPr>
          <a:bodyPr rot="0" vert="horz"/>
          <a:lstStyle/>
          <a:p>
            <a:pPr>
              <a:defRPr sz="1000" b="0" i="0" u="none" strike="noStrike" baseline="0">
                <a:solidFill>
                  <a:srgbClr val="333333"/>
                </a:solidFill>
                <a:latin typeface="Calibri"/>
                <a:ea typeface="Calibri"/>
                <a:cs typeface="Calibri"/>
              </a:defRPr>
            </a:pPr>
            <a:endParaRPr lang="en-US"/>
          </a:p>
        </c:txPr>
        <c:crossAx val="103371904"/>
        <c:crosses val="autoZero"/>
        <c:crossBetween val="midCat"/>
      </c:valAx>
      <c:valAx>
        <c:axId val="103380096"/>
        <c:scaling>
          <c:orientation val="minMax"/>
        </c:scaling>
        <c:delete val="1"/>
        <c:axPos val="b"/>
        <c:numFmt formatCode="0.0" sourceLinked="1"/>
        <c:tickLblPos val="none"/>
        <c:crossAx val="103381632"/>
        <c:crosses val="autoZero"/>
        <c:crossBetween val="midCat"/>
      </c:valAx>
      <c:valAx>
        <c:axId val="103381632"/>
        <c:scaling>
          <c:orientation val="minMax"/>
        </c:scaling>
        <c:axPos val="r"/>
        <c:title>
          <c:tx>
            <c:rich>
              <a:bodyPr/>
              <a:lstStyle/>
              <a:p>
                <a:pPr>
                  <a:defRPr sz="1100" b="1" i="0" u="none" strike="noStrike" baseline="0">
                    <a:solidFill>
                      <a:srgbClr val="FF6600"/>
                    </a:solidFill>
                    <a:latin typeface="Calibri"/>
                    <a:ea typeface="Calibri"/>
                    <a:cs typeface="Calibri"/>
                  </a:defRPr>
                </a:pPr>
                <a:r>
                  <a:t>Lift Height</a:t>
                </a:r>
              </a:p>
            </c:rich>
          </c:tx>
          <c:layout>
            <c:manualLayout>
              <c:xMode val="edge"/>
              <c:yMode val="edge"/>
              <c:x val="0.9317385633544274"/>
              <c:y val="0.36229523033758715"/>
            </c:manualLayout>
          </c:layout>
          <c:spPr>
            <a:noFill/>
            <a:ln w="25400">
              <a:noFill/>
            </a:ln>
          </c:spPr>
        </c:title>
        <c:numFmt formatCode="General" sourceLinked="0"/>
        <c:tickLblPos val="nextTo"/>
        <c:spPr>
          <a:noFill/>
          <a:ln w="9525" cap="flat" cmpd="sng" algn="ctr">
            <a:solidFill>
              <a:schemeClr val="tx1">
                <a:lumMod val="25000"/>
                <a:lumOff val="75000"/>
              </a:schemeClr>
            </a:solidFill>
            <a:round/>
          </a:ln>
          <a:effectLst/>
        </c:spPr>
        <c:txPr>
          <a:bodyPr rot="0" vert="horz"/>
          <a:lstStyle/>
          <a:p>
            <a:pPr>
              <a:defRPr sz="1000" b="1" i="0" u="none" strike="noStrike" baseline="0">
                <a:solidFill>
                  <a:srgbClr val="333333"/>
                </a:solidFill>
                <a:latin typeface="Calibri"/>
                <a:ea typeface="Calibri"/>
                <a:cs typeface="Calibri"/>
              </a:defRPr>
            </a:pPr>
            <a:endParaRPr lang="en-US"/>
          </a:p>
        </c:txPr>
        <c:crossAx val="103380096"/>
        <c:crosses val="max"/>
        <c:crossBetween val="midCat"/>
      </c:valAx>
      <c:spPr>
        <a:solidFill>
          <a:schemeClr val="bg1"/>
        </a:solidFill>
        <a:ln w="25400">
          <a:noFill/>
        </a:ln>
      </c:spPr>
    </c:plotArea>
    <c:legend>
      <c:legendPos val="r"/>
      <c:layout>
        <c:manualLayout>
          <c:xMode val="edge"/>
          <c:yMode val="edge"/>
          <c:wMode val="edge"/>
          <c:hMode val="edge"/>
          <c:x val="0.5306934179239865"/>
          <c:y val="0.70609587594654111"/>
          <c:w val="0.84950549892919824"/>
          <c:h val="0.78136503052061013"/>
        </c:manualLayout>
      </c:layout>
      <c:spPr>
        <a:solidFill>
          <a:schemeClr val="bg1">
            <a:alpha val="75000"/>
          </a:schemeClr>
        </a:solidFill>
        <a:ln>
          <a:solidFill>
            <a:schemeClr val="accent5"/>
          </a:solidFill>
        </a:ln>
        <a:effectLst/>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chart>
  <c:spPr>
    <a:solidFill>
      <a:schemeClr val="accent6">
        <a:lumMod val="20000"/>
        <a:lumOff val="80000"/>
      </a:schemeClr>
    </a:solidFill>
    <a:ln w="9525" cap="flat" cmpd="sng" algn="ctr">
      <a:solidFill>
        <a:schemeClr val="accent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45720</xdr:rowOff>
    </xdr:from>
    <xdr:to>
      <xdr:col>17</xdr:col>
      <xdr:colOff>447675</xdr:colOff>
      <xdr:row>66</xdr:row>
      <xdr:rowOff>0</xdr:rowOff>
    </xdr:to>
    <xdr:sp macro="" textlink="">
      <xdr:nvSpPr>
        <xdr:cNvPr id="2" name="TextBox 1"/>
        <xdr:cNvSpPr txBox="1"/>
      </xdr:nvSpPr>
      <xdr:spPr>
        <a:xfrm>
          <a:off x="142875" y="207645"/>
          <a:ext cx="10201275" cy="10479405"/>
        </a:xfrm>
        <a:prstGeom prst="rect">
          <a:avLst/>
        </a:prstGeom>
        <a:solidFill>
          <a:schemeClr val="bg1"/>
        </a:solidFill>
        <a:ln w="158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US" sz="1400" b="1" i="0" u="sng" strike="noStrike" baseline="0">
              <a:solidFill>
                <a:srgbClr val="993300"/>
              </a:solidFill>
              <a:latin typeface="Calibri"/>
              <a:cs typeface="Calibri"/>
            </a:rPr>
            <a:t>Combat 4-bar Lifter:  V. 1.30</a:t>
          </a:r>
        </a:p>
        <a:p>
          <a:pPr algn="l" rtl="0">
            <a:defRPr sz="1000"/>
          </a:pPr>
          <a:endParaRPr lang="en-US" sz="1200" b="1" i="0" u="none" strike="noStrike" baseline="0">
            <a:solidFill>
              <a:srgbClr val="003366"/>
            </a:solidFill>
            <a:latin typeface="Calibri"/>
            <a:cs typeface="Calibri"/>
          </a:endParaRPr>
        </a:p>
        <a:p>
          <a:pPr lvl="0"/>
          <a:r>
            <a:rPr lang="en-US" sz="1200" b="1" i="0" u="none" strike="noStrike" baseline="0">
              <a:solidFill>
                <a:srgbClr val="003366"/>
              </a:solidFill>
              <a:latin typeface="Calibri"/>
              <a:ea typeface="+mn-ea"/>
              <a:cs typeface="Calibri"/>
            </a:rPr>
            <a:t>Four-bar linkages make for very effective combat robot lifters. A well designed linkage can retract to a compact form, deploy up and forward to an impressive height, and keep the torque demands on the actuating motor to a minimum. Unfortunately, designing a 4-bar lifter to simultaneously meet all of those goals is a technically challenging task.</a:t>
          </a:r>
        </a:p>
        <a:p>
          <a:endParaRPr lang="en-US" sz="1200" b="1" i="0" u="none" strike="noStrike" baseline="0">
            <a:solidFill>
              <a:srgbClr val="003366"/>
            </a:solidFill>
            <a:latin typeface="Calibri"/>
            <a:ea typeface="+mn-ea"/>
            <a:cs typeface="Calibri"/>
          </a:endParaRPr>
        </a:p>
        <a:p>
          <a:r>
            <a:rPr lang="en-US" sz="1200" b="1" i="0" u="none" strike="noStrike" baseline="0">
              <a:solidFill>
                <a:srgbClr val="003366"/>
              </a:solidFill>
              <a:latin typeface="Calibri"/>
              <a:ea typeface="+mn-ea"/>
              <a:cs typeface="Calibri"/>
            </a:rPr>
            <a:t>In 2006 Adam Wrigley wrote a 4-bar static simulation program in Windows Visual Basic that greatly simplified the linkage design process. Unfortunately, current versions of Windows do not support Adam’s program.</a:t>
          </a:r>
        </a:p>
        <a:p>
          <a:endParaRPr lang="en-US" sz="1200" b="1" i="0" u="none" strike="noStrike" baseline="0">
            <a:solidFill>
              <a:srgbClr val="003366"/>
            </a:solidFill>
            <a:latin typeface="Calibri"/>
            <a:ea typeface="+mn-ea"/>
            <a:cs typeface="Calibri"/>
          </a:endParaRPr>
        </a:p>
        <a:p>
          <a:r>
            <a:rPr lang="en-US" sz="1200" b="1" i="0" u="none" strike="noStrike" baseline="0">
              <a:solidFill>
                <a:srgbClr val="003366"/>
              </a:solidFill>
              <a:latin typeface="Calibri"/>
              <a:ea typeface="+mn-ea"/>
              <a:cs typeface="Calibri"/>
            </a:rPr>
            <a:t>In 2019 I built the Combat 4-bar Excel spreadsheet to replace Adam's simulation. The interface was designed to be familiar to users of the earlier program. The spreadsheet plots the start and end configurations of simultaneously calculates torque requirements and lift profiles for torsion-powered </a:t>
          </a:r>
          <a:r>
            <a:rPr lang="en-US" sz="1200" b="1" i="0" u="none" strike="noStrike" baseline="0">
              <a:solidFill>
                <a:srgbClr val="00B050"/>
              </a:solidFill>
              <a:latin typeface="Calibri"/>
              <a:ea typeface="+mn-ea"/>
              <a:cs typeface="Calibri"/>
            </a:rPr>
            <a:t>Rear Bar [Crank]</a:t>
          </a:r>
          <a:r>
            <a:rPr lang="en-US" sz="1200" b="1" i="0" u="none" strike="noStrike" baseline="0">
              <a:solidFill>
                <a:srgbClr val="003366"/>
              </a:solidFill>
              <a:latin typeface="Calibri"/>
              <a:ea typeface="+mn-ea"/>
              <a:cs typeface="Calibri"/>
            </a:rPr>
            <a:t> and </a:t>
          </a:r>
          <a:r>
            <a:rPr lang="en-US" sz="1200" b="1" i="0" u="none" strike="noStrike" baseline="0">
              <a:solidFill>
                <a:srgbClr val="00B050"/>
              </a:solidFill>
              <a:latin typeface="Calibri"/>
              <a:ea typeface="+mn-ea"/>
              <a:cs typeface="Calibri"/>
            </a:rPr>
            <a:t>Front Bar [Rocker] </a:t>
          </a:r>
          <a:r>
            <a:rPr lang="en-US" sz="1200" b="1" i="0" u="none" strike="noStrike" baseline="0">
              <a:solidFill>
                <a:srgbClr val="003366"/>
              </a:solidFill>
              <a:latin typeface="Calibri"/>
              <a:ea typeface="+mn-ea"/>
              <a:cs typeface="Calibri"/>
            </a:rPr>
            <a:t>designs. Mechanisms powered by thrust from direct acting linear actuators or pneumatic/hydraulic cylinders are not supported. </a:t>
          </a:r>
        </a:p>
        <a:p>
          <a:pPr algn="l" rtl="0">
            <a:defRPr sz="1000"/>
          </a:pPr>
          <a:endParaRPr lang="en-US" sz="1200" b="1" i="0" u="none" strike="noStrike" baseline="0">
            <a:solidFill>
              <a:srgbClr val="003366"/>
            </a:solidFill>
            <a:latin typeface="Calibri"/>
            <a:ea typeface="+mn-ea"/>
            <a:cs typeface="Calibri"/>
          </a:endParaRPr>
        </a:p>
        <a:p>
          <a:pPr algn="l" rtl="0">
            <a:defRPr sz="1000"/>
          </a:pPr>
          <a:r>
            <a:rPr lang="en-US" sz="1400" b="1" i="0" u="sng" strike="noStrike" baseline="0">
              <a:solidFill>
                <a:srgbClr val="993300"/>
              </a:solidFill>
              <a:latin typeface="Calibri"/>
              <a:cs typeface="Calibri"/>
            </a:rPr>
            <a:t>Instructions</a:t>
          </a:r>
        </a:p>
        <a:p>
          <a:pPr algn="l" rtl="0">
            <a:defRPr sz="1000"/>
          </a:pPr>
          <a:endParaRPr lang="en-US" sz="1200" b="1" i="0" u="none" strike="noStrike" baseline="0">
            <a:solidFill>
              <a:srgbClr val="003366"/>
            </a:solidFill>
            <a:latin typeface="Calibri"/>
            <a:cs typeface="Calibri"/>
          </a:endParaRPr>
        </a:p>
        <a:p>
          <a:r>
            <a:rPr lang="en-US" sz="1200" b="1" i="0" u="none" strike="noStrike" baseline="0">
              <a:solidFill>
                <a:srgbClr val="003366"/>
              </a:solidFill>
              <a:latin typeface="Calibri"/>
              <a:ea typeface="+mn-ea"/>
              <a:cs typeface="Calibri"/>
            </a:rPr>
            <a:t>On the 'Main' spreadsheet tab, enter the link element specifications (as shown there in </a:t>
          </a:r>
          <a:r>
            <a:rPr lang="en-US" sz="1200" b="1" i="0" u="none" strike="noStrike" baseline="0">
              <a:solidFill>
                <a:schemeClr val="accent5"/>
              </a:solidFill>
              <a:latin typeface="Calibri"/>
              <a:ea typeface="+mn-ea"/>
              <a:cs typeface="Calibri"/>
            </a:rPr>
            <a:t>Figure 1</a:t>
          </a:r>
          <a:r>
            <a:rPr lang="en-US" sz="1200" b="1" i="0" u="none" strike="noStrike" baseline="0">
              <a:solidFill>
                <a:srgbClr val="003366"/>
              </a:solidFill>
              <a:latin typeface="Calibri"/>
              <a:ea typeface="+mn-ea"/>
              <a:cs typeface="Calibri"/>
            </a:rPr>
            <a:t>) into the </a:t>
          </a:r>
          <a:r>
            <a:rPr lang="en-US" sz="1200" b="1" i="0" u="none" strike="noStrike" baseline="0">
              <a:solidFill>
                <a:srgbClr val="00B050"/>
              </a:solidFill>
              <a:latin typeface="Calibri"/>
              <a:ea typeface="+mn-ea"/>
              <a:cs typeface="Calibri"/>
            </a:rPr>
            <a:t>Bold Green </a:t>
          </a:r>
          <a:r>
            <a:rPr lang="en-US" sz="1200" b="1" i="0" u="none" strike="noStrike" baseline="0">
              <a:solidFill>
                <a:srgbClr val="003366"/>
              </a:solidFill>
              <a:latin typeface="Calibri"/>
              <a:ea typeface="+mn-ea"/>
              <a:cs typeface="Calibri"/>
            </a:rPr>
            <a:t>formatted cells. Units for length and weight-force are your choice. Torque will display in those same units: meters and Newtons will come out in N-m, inches and ounces will come out in oz-in, and so on. The range of values for the rear bar </a:t>
          </a:r>
          <a:r>
            <a:rPr lang="en-US" sz="1200" b="1" i="0" u="none" strike="noStrike" baseline="0">
              <a:solidFill>
                <a:srgbClr val="00B050"/>
              </a:solidFill>
              <a:latin typeface="Calibri"/>
              <a:ea typeface="+mn-ea"/>
              <a:cs typeface="Calibri"/>
            </a:rPr>
            <a:t>Start Crank Angle </a:t>
          </a:r>
          <a:r>
            <a:rPr lang="en-US" sz="1200" b="1" i="0" u="none" strike="noStrike" baseline="0">
              <a:solidFill>
                <a:srgbClr val="003366"/>
              </a:solidFill>
              <a:latin typeface="Calibri"/>
              <a:ea typeface="+mn-ea"/>
              <a:cs typeface="Calibri"/>
            </a:rPr>
            <a:t>and </a:t>
          </a:r>
          <a:r>
            <a:rPr lang="en-US" sz="1200" b="1" i="0" u="none" strike="noStrike" baseline="0">
              <a:solidFill>
                <a:srgbClr val="00B050"/>
              </a:solidFill>
              <a:latin typeface="Calibri"/>
              <a:ea typeface="+mn-ea"/>
              <a:cs typeface="Calibri"/>
            </a:rPr>
            <a:t>End Crank Angle </a:t>
          </a:r>
          <a:r>
            <a:rPr lang="en-US" sz="1200" b="1" i="0" u="none" strike="noStrike" baseline="0">
              <a:solidFill>
                <a:srgbClr val="003366"/>
              </a:solidFill>
              <a:latin typeface="Calibri"/>
              <a:ea typeface="+mn-ea"/>
              <a:cs typeface="Calibri"/>
            </a:rPr>
            <a:t>are 0 to 180 degrees relative to the </a:t>
          </a:r>
          <a:r>
            <a:rPr lang="en-US" sz="1200" b="1" i="0" u="none" strike="noStrike" baseline="0">
              <a:solidFill>
                <a:srgbClr val="00B050"/>
              </a:solidFill>
              <a:latin typeface="Calibri"/>
              <a:ea typeface="+mn-ea"/>
              <a:cs typeface="Calibri"/>
            </a:rPr>
            <a:t>Base [frame]</a:t>
          </a:r>
          <a:r>
            <a:rPr lang="en-US" sz="1200" b="1" i="0" u="none" strike="noStrike" baseline="0">
              <a:solidFill>
                <a:srgbClr val="003366"/>
              </a:solidFill>
              <a:latin typeface="Calibri"/>
              <a:ea typeface="+mn-ea"/>
              <a:cs typeface="Calibri"/>
            </a:rPr>
            <a:t>. Radian angle units are not accepted. </a:t>
          </a:r>
        </a:p>
        <a:p>
          <a:endParaRPr lang="en-US" sz="1200" b="1" i="0" u="none" strike="noStrike" baseline="0">
            <a:solidFill>
              <a:srgbClr val="003366"/>
            </a:solidFill>
            <a:latin typeface="Calibri"/>
            <a:ea typeface="+mn-ea"/>
            <a:cs typeface="Calibri"/>
          </a:endParaRPr>
        </a:p>
        <a:p>
          <a:r>
            <a:rPr lang="en-US" sz="1200" b="1" i="0" u="none" strike="noStrike" baseline="0">
              <a:solidFill>
                <a:srgbClr val="003366"/>
              </a:solidFill>
              <a:latin typeface="Calibri"/>
              <a:ea typeface="+mn-ea"/>
              <a:cs typeface="Calibri"/>
            </a:rPr>
            <a:t>When the first three link lengths (</a:t>
          </a:r>
          <a:r>
            <a:rPr lang="en-US" sz="1200" b="1" i="0" u="none" strike="noStrike" baseline="0">
              <a:solidFill>
                <a:srgbClr val="00B050"/>
              </a:solidFill>
              <a:latin typeface="Calibri"/>
              <a:ea typeface="+mn-ea"/>
              <a:cs typeface="Calibri"/>
            </a:rPr>
            <a:t>frame</a:t>
          </a:r>
          <a:r>
            <a:rPr lang="en-US" sz="1200" b="1" i="0" u="none" strike="noStrike" baseline="0">
              <a:solidFill>
                <a:srgbClr val="003366"/>
              </a:solidFill>
              <a:latin typeface="Calibri"/>
              <a:ea typeface="+mn-ea"/>
              <a:cs typeface="Calibri"/>
            </a:rPr>
            <a:t>, </a:t>
          </a:r>
          <a:r>
            <a:rPr lang="en-US" sz="1200" b="1" i="0" u="none" strike="noStrike" baseline="0">
              <a:solidFill>
                <a:srgbClr val="00B050"/>
              </a:solidFill>
              <a:latin typeface="Calibri"/>
              <a:ea typeface="+mn-ea"/>
              <a:cs typeface="Calibri"/>
            </a:rPr>
            <a:t>rear bar</a:t>
          </a:r>
          <a:r>
            <a:rPr lang="en-US" sz="1200" b="1" i="0" u="none" strike="noStrike" baseline="0">
              <a:solidFill>
                <a:srgbClr val="003366"/>
              </a:solidFill>
              <a:latin typeface="Calibri"/>
              <a:ea typeface="+mn-ea"/>
              <a:cs typeface="Calibri"/>
            </a:rPr>
            <a:t>, and </a:t>
          </a:r>
          <a:r>
            <a:rPr lang="en-US" sz="1200" b="1" i="0" u="none" strike="noStrike" baseline="0">
              <a:solidFill>
                <a:srgbClr val="00B050"/>
              </a:solidFill>
              <a:latin typeface="Calibri"/>
              <a:ea typeface="+mn-ea"/>
              <a:cs typeface="Calibri"/>
            </a:rPr>
            <a:t>top bar</a:t>
          </a:r>
          <a:r>
            <a:rPr lang="en-US" sz="1200" b="1" i="0" u="none" strike="noStrike" baseline="0">
              <a:solidFill>
                <a:srgbClr val="003366"/>
              </a:solidFill>
              <a:latin typeface="Calibri"/>
              <a:ea typeface="+mn-ea"/>
              <a:cs typeface="Calibri"/>
            </a:rPr>
            <a:t>) are entered, the spreadsheet will recommend a range of lengths for the </a:t>
          </a:r>
          <a:r>
            <a:rPr lang="en-US" sz="1200" b="1" i="0" u="none" strike="noStrike" baseline="0">
              <a:solidFill>
                <a:srgbClr val="00B050"/>
              </a:solidFill>
              <a:latin typeface="Calibri"/>
              <a:ea typeface="+mn-ea"/>
              <a:cs typeface="Calibri"/>
            </a:rPr>
            <a:t>Front Bar [Rocker] </a:t>
          </a:r>
          <a:r>
            <a:rPr lang="en-US" sz="1200" b="1" i="0" u="none" strike="noStrike" baseline="0">
              <a:solidFill>
                <a:srgbClr val="003366"/>
              </a:solidFill>
              <a:latin typeface="Calibri"/>
              <a:ea typeface="+mn-ea"/>
              <a:cs typeface="Calibri"/>
            </a:rPr>
            <a:t>that will allow full 180 degree motion for a powered </a:t>
          </a:r>
          <a:r>
            <a:rPr lang="en-US" sz="1200" b="1" i="0" u="none" strike="noStrike" baseline="0">
              <a:solidFill>
                <a:srgbClr val="00B050"/>
              </a:solidFill>
              <a:latin typeface="Calibri"/>
              <a:ea typeface="+mn-ea"/>
              <a:cs typeface="Calibri"/>
            </a:rPr>
            <a:t>Rear Bar [Crank]</a:t>
          </a:r>
          <a:r>
            <a:rPr lang="en-US" sz="1200" b="1" i="0" u="none" strike="noStrike" baseline="0">
              <a:solidFill>
                <a:srgbClr val="003366"/>
              </a:solidFill>
              <a:latin typeface="Calibri"/>
              <a:ea typeface="+mn-ea"/>
              <a:cs typeface="Calibri"/>
            </a:rPr>
            <a:t>. Lifters using a powered </a:t>
          </a:r>
          <a:r>
            <a:rPr lang="en-US" sz="1200" b="1" i="0" u="none" strike="noStrike" baseline="0">
              <a:solidFill>
                <a:srgbClr val="00B050"/>
              </a:solidFill>
              <a:latin typeface="Calibri"/>
              <a:ea typeface="+mn-ea"/>
              <a:cs typeface="Calibri"/>
            </a:rPr>
            <a:t>Front Bar [Rocker] </a:t>
          </a:r>
          <a:r>
            <a:rPr lang="en-US" sz="1200" b="1" i="0" u="none" strike="noStrike" baseline="0">
              <a:solidFill>
                <a:srgbClr val="003366"/>
              </a:solidFill>
              <a:latin typeface="Calibri"/>
              <a:ea typeface="+mn-ea"/>
              <a:cs typeface="Calibri"/>
            </a:rPr>
            <a:t>may ignore these values.</a:t>
          </a:r>
        </a:p>
        <a:p>
          <a:endParaRPr lang="en-US" sz="1200" b="1" i="0" u="none" strike="noStrike" baseline="0">
            <a:solidFill>
              <a:srgbClr val="003366"/>
            </a:solidFill>
            <a:latin typeface="Calibri"/>
            <a:ea typeface="+mn-ea"/>
            <a:cs typeface="Calibri"/>
          </a:endParaRPr>
        </a:p>
        <a:p>
          <a:r>
            <a:rPr lang="en-US" sz="1200" b="1" i="0" u="none" strike="noStrike" baseline="0">
              <a:solidFill>
                <a:srgbClr val="003366"/>
              </a:solidFill>
              <a:latin typeface="Calibri"/>
              <a:ea typeface="+mn-ea"/>
              <a:cs typeface="Calibri"/>
            </a:rPr>
            <a:t>Experiment with different designs and see what works best. Try small adjustments to bar lengths and monitor the effects on lift and required torque. Raising or lowering the height of the Rear Bar Base Rise may aid in obtaining a compact starting position and in smoothing out torque requirements.</a:t>
          </a:r>
        </a:p>
        <a:p>
          <a:pPr algn="l" rtl="0">
            <a:defRPr sz="1000"/>
          </a:pPr>
          <a:endParaRPr lang="en-US" sz="1200" b="1" i="0" u="none" strike="noStrike" baseline="0">
            <a:solidFill>
              <a:srgbClr val="003366"/>
            </a:solidFill>
            <a:latin typeface="Calibri"/>
            <a:cs typeface="Calibri"/>
          </a:endParaRPr>
        </a:p>
        <a:p>
          <a:pPr algn="l" rtl="0">
            <a:defRPr sz="1000"/>
          </a:pPr>
          <a:r>
            <a:rPr lang="en-US" sz="1400" b="1" i="0" u="sng" strike="noStrike" baseline="0">
              <a:solidFill>
                <a:srgbClr val="993300"/>
              </a:solidFill>
              <a:latin typeface="Calibri"/>
              <a:cs typeface="Calibri"/>
            </a:rPr>
            <a:t>Notes, Warnings, and Bugs</a:t>
          </a:r>
        </a:p>
        <a:p>
          <a:pPr algn="l" rtl="0">
            <a:defRPr sz="1000"/>
          </a:pPr>
          <a:endParaRPr lang="en-US" sz="1200" b="1" i="0" u="none" strike="noStrike" baseline="0">
            <a:solidFill>
              <a:srgbClr val="003366"/>
            </a:solidFill>
            <a:latin typeface="Calibri"/>
            <a:cs typeface="Calibri"/>
          </a:endParaRPr>
        </a:p>
        <a:p>
          <a:r>
            <a:rPr lang="en-US" sz="1200" b="1" i="0" u="none" strike="noStrike" baseline="0">
              <a:solidFill>
                <a:srgbClr val="003366"/>
              </a:solidFill>
              <a:latin typeface="Calibri"/>
              <a:ea typeface="+mn-ea"/>
              <a:cs typeface="Calibri"/>
            </a:rPr>
            <a:t>The spreadsheet calculates the torque required to HOLD POSITION against the force of the given weight applied at the tip of the lifter. A reasonable motor selection would provide stall torque twice required to hold position, allowing it to lift at good speed without undue stress.</a:t>
          </a:r>
        </a:p>
        <a:p>
          <a:endParaRPr lang="en-US" sz="1200" b="1" i="0" u="none" strike="noStrike" baseline="0">
            <a:solidFill>
              <a:srgbClr val="003366"/>
            </a:solidFill>
            <a:latin typeface="Calibri"/>
            <a:ea typeface="+mn-ea"/>
            <a:cs typeface="Calibri"/>
          </a:endParaRPr>
        </a:p>
        <a:p>
          <a:r>
            <a:rPr lang="en-US" sz="1200" b="1" i="0" u="none" strike="noStrike" baseline="0">
              <a:solidFill>
                <a:srgbClr val="003366"/>
              </a:solidFill>
              <a:latin typeface="Calibri"/>
              <a:ea typeface="+mn-ea"/>
              <a:cs typeface="Calibri"/>
            </a:rPr>
            <a:t>It is possible to enter bar lengths that make no sense from a functional standpoint. For example: if the length of the </a:t>
          </a:r>
          <a:r>
            <a:rPr lang="en-US" sz="1200" b="1" i="0" u="none" strike="noStrike" baseline="0">
              <a:solidFill>
                <a:srgbClr val="00B050"/>
              </a:solidFill>
              <a:latin typeface="Calibri"/>
              <a:ea typeface="+mn-ea"/>
              <a:cs typeface="Calibri"/>
            </a:rPr>
            <a:t>Base [Frame] </a:t>
          </a:r>
          <a:r>
            <a:rPr lang="en-US" sz="1200" b="1" i="0" u="none" strike="noStrike" baseline="0">
              <a:solidFill>
                <a:srgbClr val="003366"/>
              </a:solidFill>
              <a:latin typeface="Calibri"/>
              <a:ea typeface="+mn-ea"/>
              <a:cs typeface="Calibri"/>
            </a:rPr>
            <a:t>is longer than the combined lengths of the other three bars the structure could not be assembled into a quadrilateral. Graphs with nonsensical bar lengths may show non-continuous lift height and off-scale or negative torque requirements.</a:t>
          </a:r>
        </a:p>
        <a:p>
          <a:endParaRPr lang="en-US" sz="1200" b="1" i="0" u="none" strike="noStrike" baseline="0">
            <a:solidFill>
              <a:srgbClr val="003366"/>
            </a:solidFill>
            <a:latin typeface="Calibri"/>
            <a:ea typeface="+mn-ea"/>
            <a:cs typeface="Calibri"/>
          </a:endParaRPr>
        </a:p>
        <a:p>
          <a:r>
            <a:rPr lang="en-US" sz="1200" b="1" i="0" u="none" strike="noStrike" baseline="0">
              <a:solidFill>
                <a:srgbClr val="003366"/>
              </a:solidFill>
              <a:latin typeface="Calibri"/>
              <a:ea typeface="+mn-ea"/>
              <a:cs typeface="Calibri"/>
            </a:rPr>
            <a:t>Torque charts for powered </a:t>
          </a:r>
          <a:r>
            <a:rPr lang="en-US" sz="1200" b="1" i="0" u="none" strike="noStrike" baseline="0">
              <a:solidFill>
                <a:srgbClr val="00B050"/>
              </a:solidFill>
              <a:latin typeface="Calibri"/>
              <a:ea typeface="+mn-ea"/>
              <a:cs typeface="Calibri"/>
            </a:rPr>
            <a:t>Front Bar [Rocker] </a:t>
          </a:r>
          <a:r>
            <a:rPr lang="en-US" sz="1200" b="1" i="0" u="none" strike="noStrike" baseline="0">
              <a:solidFill>
                <a:srgbClr val="003366"/>
              </a:solidFill>
              <a:latin typeface="Calibri"/>
              <a:ea typeface="+mn-ea"/>
              <a:cs typeface="Calibri"/>
            </a:rPr>
            <a:t>linkages will cut-off further motion when the angle between the </a:t>
          </a:r>
          <a:r>
            <a:rPr lang="en-US" sz="1200" b="1" i="0" u="none" strike="noStrike" baseline="0">
              <a:solidFill>
                <a:srgbClr val="00B050"/>
              </a:solidFill>
              <a:latin typeface="Calibri"/>
              <a:ea typeface="+mn-ea"/>
              <a:cs typeface="Calibri"/>
            </a:rPr>
            <a:t>Rear Bar [Crank] </a:t>
          </a:r>
          <a:r>
            <a:rPr lang="en-US" sz="1200" b="1" i="0" u="none" strike="noStrike" baseline="0">
              <a:solidFill>
                <a:srgbClr val="003366"/>
              </a:solidFill>
              <a:latin typeface="Calibri"/>
              <a:ea typeface="+mn-ea"/>
              <a:cs typeface="Calibri"/>
            </a:rPr>
            <a:t>and </a:t>
          </a:r>
          <a:r>
            <a:rPr lang="en-US" sz="1200" b="1" i="0" u="none" strike="noStrike" baseline="0">
              <a:solidFill>
                <a:srgbClr val="00B050"/>
              </a:solidFill>
              <a:latin typeface="Calibri"/>
              <a:ea typeface="+mn-ea"/>
              <a:cs typeface="Calibri"/>
            </a:rPr>
            <a:t>Top Bar [Connector] </a:t>
          </a:r>
          <a:r>
            <a:rPr lang="en-US" sz="1200" b="1" i="0" u="none" strike="noStrike" baseline="0">
              <a:solidFill>
                <a:srgbClr val="003366"/>
              </a:solidFill>
              <a:latin typeface="Calibri"/>
              <a:ea typeface="+mn-ea"/>
              <a:cs typeface="Calibri"/>
            </a:rPr>
            <a:t>reaches 165 degrees. This is done to avoid the mechanism 'locking' in a position that would prevent retraction. When the 165 degree angle is reached the display box below this chart will change to </a:t>
          </a:r>
          <a:r>
            <a:rPr lang="en-US" sz="1200" b="1" i="0" u="none" strike="noStrike" baseline="0">
              <a:solidFill>
                <a:srgbClr val="C00000"/>
              </a:solidFill>
              <a:latin typeface="Calibri"/>
              <a:ea typeface="+mn-ea"/>
              <a:cs typeface="Calibri"/>
            </a:rPr>
            <a:t>Red Font </a:t>
          </a:r>
          <a:r>
            <a:rPr lang="en-US" sz="1200" b="1" i="0" u="none" strike="noStrike" baseline="0">
              <a:solidFill>
                <a:srgbClr val="003366"/>
              </a:solidFill>
              <a:latin typeface="Calibri"/>
              <a:ea typeface="+mn-ea"/>
              <a:cs typeface="Calibri"/>
            </a:rPr>
            <a:t>and will show the maximum safe Rocker rotation angle and the corresponding safe Crank angle. Powered </a:t>
          </a:r>
          <a:r>
            <a:rPr lang="en-US" sz="1200" b="1" i="0" u="none" strike="noStrike" baseline="0">
              <a:solidFill>
                <a:srgbClr val="00B050"/>
              </a:solidFill>
              <a:latin typeface="Calibri"/>
              <a:ea typeface="+mn-ea"/>
              <a:cs typeface="Calibri"/>
            </a:rPr>
            <a:t>Rear Bar [Crank] </a:t>
          </a:r>
          <a:r>
            <a:rPr lang="en-US" sz="1200" b="1" i="0" u="none" strike="noStrike" baseline="0">
              <a:solidFill>
                <a:srgbClr val="003366"/>
              </a:solidFill>
              <a:latin typeface="Calibri"/>
              <a:ea typeface="+mn-ea"/>
              <a:cs typeface="Calibri"/>
            </a:rPr>
            <a:t>mechanisms do not risk this 'locking' and their charts will display full rotation angles.</a:t>
          </a:r>
        </a:p>
        <a:p>
          <a:endParaRPr lang="en-US" sz="1200" b="1" i="0" u="none" strike="noStrike" baseline="0">
            <a:solidFill>
              <a:srgbClr val="003366"/>
            </a:solidFill>
            <a:latin typeface="Calibri"/>
            <a:ea typeface="+mn-ea"/>
            <a:cs typeface="Calibri"/>
          </a:endParaRPr>
        </a:p>
        <a:p>
          <a:r>
            <a:rPr lang="en-US" sz="1050" b="1" i="0" u="none" strike="noStrike" baseline="0">
              <a:solidFill>
                <a:srgbClr val="003366"/>
              </a:solidFill>
              <a:latin typeface="Arial Black" pitchFamily="34" charset="0"/>
              <a:ea typeface="+mn-ea"/>
              <a:cs typeface="Calibri"/>
            </a:rPr>
            <a:t>Error Warning</a:t>
          </a:r>
          <a:r>
            <a:rPr lang="en-US" sz="1200" b="1" i="0" u="none" strike="noStrike" baseline="0">
              <a:solidFill>
                <a:srgbClr val="003366"/>
              </a:solidFill>
              <a:latin typeface="Calibri"/>
              <a:ea typeface="+mn-ea"/>
              <a:cs typeface="Calibri"/>
            </a:rPr>
            <a:t>: If motion of the mechanism causes the front tip of </a:t>
          </a:r>
          <a:r>
            <a:rPr lang="en-US" sz="1200" b="1" i="0" u="none" strike="noStrike" baseline="0">
              <a:solidFill>
                <a:srgbClr val="00B050"/>
              </a:solidFill>
              <a:latin typeface="Calibri"/>
              <a:ea typeface="+mn-ea"/>
              <a:cs typeface="Calibri"/>
            </a:rPr>
            <a:t>Extension: R </a:t>
          </a:r>
          <a:r>
            <a:rPr lang="en-US" sz="1200" b="1" i="0" u="none" strike="noStrike" baseline="0">
              <a:solidFill>
                <a:srgbClr val="003366"/>
              </a:solidFill>
              <a:latin typeface="Calibri"/>
              <a:ea typeface="+mn-ea"/>
              <a:cs typeface="Calibri"/>
            </a:rPr>
            <a:t>to drop below the forward end of </a:t>
          </a:r>
          <a:r>
            <a:rPr lang="en-US" sz="1200" b="1" i="0" u="none" strike="noStrike" baseline="0">
              <a:solidFill>
                <a:srgbClr val="00B050"/>
              </a:solidFill>
              <a:latin typeface="Calibri"/>
              <a:ea typeface="+mn-ea"/>
              <a:cs typeface="Calibri"/>
            </a:rPr>
            <a:t>Base [Frame] </a:t>
          </a:r>
          <a:r>
            <a:rPr lang="en-US" sz="1200" b="1" i="0" u="none" strike="noStrike" baseline="0">
              <a:solidFill>
                <a:srgbClr val="003366"/>
              </a:solidFill>
              <a:latin typeface="Calibri"/>
              <a:ea typeface="+mn-ea"/>
              <a:cs typeface="Calibri"/>
            </a:rPr>
            <a:t>the trigonometric formulas used in the spreadsheet 'break'. The position plot and the torque charts will display nonsensical results and a box will appear below the position plot that displays: </a:t>
          </a:r>
          <a:r>
            <a:rPr lang="en-US" sz="1000" b="1" i="0" u="none" strike="noStrike" baseline="0">
              <a:solidFill>
                <a:srgbClr val="C00000"/>
              </a:solidFill>
              <a:latin typeface="Arial Black" pitchFamily="34" charset="0"/>
              <a:ea typeface="+mn-ea"/>
              <a:cs typeface="Calibri"/>
            </a:rPr>
            <a:t>FATAL ERROR -- Keep height of 'Extension: R' above [0, 0]</a:t>
          </a:r>
          <a:r>
            <a:rPr lang="en-US" sz="1200" b="1" i="0" u="none" strike="noStrike" baseline="0">
              <a:solidFill>
                <a:srgbClr val="003366"/>
              </a:solidFill>
              <a:latin typeface="Calibri"/>
              <a:ea typeface="+mn-ea"/>
              <a:cs typeface="Calibri"/>
            </a:rPr>
            <a:t>. Adjusting element lengths and/or crank angles to sufficiently raise </a:t>
          </a:r>
          <a:r>
            <a:rPr lang="en-US" sz="1200" b="1" i="0" u="none" strike="noStrike" baseline="0">
              <a:solidFill>
                <a:srgbClr val="00B050"/>
              </a:solidFill>
              <a:latin typeface="Calibri"/>
              <a:ea typeface="+mn-ea"/>
              <a:cs typeface="Calibri"/>
            </a:rPr>
            <a:t>Extension: R </a:t>
          </a:r>
          <a:r>
            <a:rPr lang="en-US" sz="1200" b="1" i="0" u="none" strike="noStrike" baseline="0">
              <a:solidFill>
                <a:srgbClr val="003366"/>
              </a:solidFill>
              <a:latin typeface="Calibri"/>
              <a:ea typeface="+mn-ea"/>
              <a:cs typeface="Calibri"/>
            </a:rPr>
            <a:t>will restore function.</a:t>
          </a:r>
        </a:p>
        <a:p>
          <a:endParaRPr lang="en-US" sz="1200" b="1" i="0" u="none" strike="noStrike" baseline="0">
            <a:solidFill>
              <a:srgbClr val="003366"/>
            </a:solidFill>
            <a:latin typeface="Calibri"/>
            <a:ea typeface="+mn-ea"/>
            <a:cs typeface="Calibri"/>
          </a:endParaRPr>
        </a:p>
        <a:p>
          <a:r>
            <a:rPr lang="en-US" sz="1200" b="1" i="0" u="none" strike="noStrike" baseline="0">
              <a:solidFill>
                <a:srgbClr val="003366"/>
              </a:solidFill>
              <a:latin typeface="Calibri"/>
              <a:ea typeface="+mn-ea"/>
              <a:cs typeface="Calibri"/>
            </a:rPr>
            <a:t>The example mechanism provided with the spreadsheet is the linkage used by Team Run Amok's beetleweight lifter 'Zpatula' (</a:t>
          </a:r>
          <a:r>
            <a:rPr lang="en-US" sz="1200" b="1" i="0" u="none" strike="noStrike" baseline="0">
              <a:solidFill>
                <a:schemeClr val="accent5"/>
              </a:solidFill>
              <a:latin typeface="Calibri"/>
              <a:ea typeface="+mn-ea"/>
              <a:cs typeface="Calibri"/>
            </a:rPr>
            <a:t>http://runamok.tech/RunAmok/zpatula.html</a:t>
          </a:r>
          <a:r>
            <a:rPr lang="en-US" sz="1200" b="1" i="0" u="none" strike="noStrike" baseline="0">
              <a:solidFill>
                <a:srgbClr val="003366"/>
              </a:solidFill>
              <a:latin typeface="Calibri"/>
              <a:ea typeface="+mn-ea"/>
              <a:cs typeface="Calibri"/>
            </a:rPr>
            <a:t>). 'Zpatula' has a powered front-bar.</a:t>
          </a:r>
        </a:p>
        <a:p>
          <a:endParaRPr lang="en-US" sz="1200" b="1" i="0" u="none" strike="noStrike" baseline="0">
            <a:solidFill>
              <a:srgbClr val="003366"/>
            </a:solidFill>
            <a:latin typeface="Calibri"/>
            <a:cs typeface="Calibri"/>
          </a:endParaRPr>
        </a:p>
        <a:p>
          <a:pPr algn="l" rtl="0">
            <a:defRPr sz="1000"/>
          </a:pPr>
          <a:r>
            <a:rPr lang="en-US" sz="1400" b="1" i="0" u="sng" strike="noStrike" baseline="0">
              <a:solidFill>
                <a:srgbClr val="993300"/>
              </a:solidFill>
              <a:latin typeface="Calibri"/>
              <a:ea typeface="+mn-ea"/>
              <a:cs typeface="Calibri"/>
            </a:rPr>
            <a:t>Excel Geek Note: </a:t>
          </a:r>
        </a:p>
        <a:p>
          <a:pPr algn="l" rtl="0">
            <a:defRPr sz="1000"/>
          </a:pPr>
          <a:endParaRPr lang="en-US" sz="1200" b="1" i="0" u="none" strike="noStrike" baseline="0">
            <a:solidFill>
              <a:srgbClr val="003366"/>
            </a:solidFill>
            <a:latin typeface="Calibri"/>
            <a:ea typeface="+mn-ea"/>
            <a:cs typeface="Calibri"/>
          </a:endParaRPr>
        </a:p>
        <a:p>
          <a:r>
            <a:rPr lang="en-US" sz="1200" b="1" i="0" u="none" strike="noStrike" baseline="0">
              <a:solidFill>
                <a:srgbClr val="003366"/>
              </a:solidFill>
              <a:latin typeface="Calibri"/>
              <a:ea typeface="+mn-ea"/>
              <a:cs typeface="Calibri"/>
            </a:rPr>
            <a:t>Excel is not a good drawing program. The ratio of vertical to horizontal units in a plot cannot directly be set to maintain a 1:1 ratio of height to width. Above the linkage plot is a check box linked to a routine I wrote that attempts to ‘square up’ the plot ratio and reduce ‘squash’ distortion. Un-checking the box will turn off the correction routine, if you so please.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590550</xdr:colOff>
      <xdr:row>2</xdr:row>
      <xdr:rowOff>0</xdr:rowOff>
    </xdr:from>
    <xdr:to>
      <xdr:col>17</xdr:col>
      <xdr:colOff>9525</xdr:colOff>
      <xdr:row>14</xdr:row>
      <xdr:rowOff>28575</xdr:rowOff>
    </xdr:to>
    <xdr:graphicFrame macro="">
      <xdr:nvGraphicFramePr>
        <xdr:cNvPr id="106645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95250</xdr:colOff>
      <xdr:row>15</xdr:row>
      <xdr:rowOff>9525</xdr:rowOff>
    </xdr:from>
    <xdr:to>
      <xdr:col>17</xdr:col>
      <xdr:colOff>28575</xdr:colOff>
      <xdr:row>30</xdr:row>
      <xdr:rowOff>76200</xdr:rowOff>
    </xdr:to>
    <xdr:graphicFrame macro="">
      <xdr:nvGraphicFramePr>
        <xdr:cNvPr id="10664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74084</xdr:colOff>
      <xdr:row>2</xdr:row>
      <xdr:rowOff>0</xdr:rowOff>
    </xdr:from>
    <xdr:to>
      <xdr:col>9</xdr:col>
      <xdr:colOff>529611</xdr:colOff>
      <xdr:row>6</xdr:row>
      <xdr:rowOff>97120</xdr:rowOff>
    </xdr:to>
    <xdr:sp macro="" textlink="">
      <xdr:nvSpPr>
        <xdr:cNvPr id="2" name="TextBox 1"/>
        <xdr:cNvSpPr txBox="1"/>
      </xdr:nvSpPr>
      <xdr:spPr>
        <a:xfrm>
          <a:off x="2664884" y="371475"/>
          <a:ext cx="2897715" cy="737224"/>
        </a:xfrm>
        <a:prstGeom prst="rect">
          <a:avLst/>
        </a:prstGeom>
        <a:solidFill>
          <a:srgbClr val="FFFFCC"/>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rgbClr val="002060"/>
              </a:solidFill>
            </a:rPr>
            <a:t>Units for length and force are your choice.</a:t>
          </a:r>
          <a:br>
            <a:rPr lang="en-US" sz="1000" b="1">
              <a:solidFill>
                <a:srgbClr val="002060"/>
              </a:solidFill>
            </a:rPr>
          </a:br>
          <a:r>
            <a:rPr lang="en-US" sz="1000" b="1">
              <a:solidFill>
                <a:srgbClr val="002060"/>
              </a:solidFill>
            </a:rPr>
            <a:t>Torque will be in units</a:t>
          </a:r>
          <a:r>
            <a:rPr lang="en-US" sz="1000" b="1" baseline="0">
              <a:solidFill>
                <a:srgbClr val="002060"/>
              </a:solidFill>
            </a:rPr>
            <a:t> of 'force - length'.</a:t>
          </a:r>
        </a:p>
        <a:p>
          <a:pPr algn="ctr"/>
          <a:r>
            <a:rPr lang="en-US" sz="1000" b="1" baseline="0">
              <a:solidFill>
                <a:srgbClr val="002060"/>
              </a:solidFill>
            </a:rPr>
            <a:t>Torque is applied to the base pivot of the bar.</a:t>
          </a:r>
        </a:p>
        <a:p>
          <a:pPr algn="ctr"/>
          <a:r>
            <a:rPr lang="en-US" sz="1000" b="1">
              <a:solidFill>
                <a:srgbClr val="002060"/>
              </a:solidFill>
            </a:rPr>
            <a:t>Enter numbers in </a:t>
          </a:r>
          <a:r>
            <a:rPr lang="en-US" sz="1050" b="1">
              <a:solidFill>
                <a:srgbClr val="00B050"/>
              </a:solidFill>
            </a:rPr>
            <a:t>BOLD</a:t>
          </a:r>
          <a:r>
            <a:rPr lang="en-US" sz="1000" b="1">
              <a:solidFill>
                <a:srgbClr val="002060"/>
              </a:solidFill>
            </a:rPr>
            <a:t>.</a:t>
          </a:r>
        </a:p>
      </xdr:txBody>
    </xdr:sp>
    <xdr:clientData/>
  </xdr:twoCellAnchor>
  <xdr:twoCellAnchor>
    <xdr:from>
      <xdr:col>1</xdr:col>
      <xdr:colOff>9525</xdr:colOff>
      <xdr:row>0</xdr:row>
      <xdr:rowOff>60960</xdr:rowOff>
    </xdr:from>
    <xdr:to>
      <xdr:col>16</xdr:col>
      <xdr:colOff>598167</xdr:colOff>
      <xdr:row>1</xdr:row>
      <xdr:rowOff>110490</xdr:rowOff>
    </xdr:to>
    <xdr:sp macro="" textlink="">
      <xdr:nvSpPr>
        <xdr:cNvPr id="5" name="TextBox 4"/>
        <xdr:cNvSpPr txBox="1"/>
      </xdr:nvSpPr>
      <xdr:spPr>
        <a:xfrm>
          <a:off x="238125" y="60960"/>
          <a:ext cx="9919330" cy="308610"/>
        </a:xfrm>
        <a:prstGeom prst="rect">
          <a:avLst/>
        </a:prstGeom>
        <a:solidFill>
          <a:schemeClr val="accent1">
            <a:lumMod val="5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bg1"/>
              </a:solidFill>
            </a:rPr>
            <a:t>Combat </a:t>
          </a:r>
          <a:r>
            <a:rPr lang="en-US" sz="1200" b="1" baseline="0">
              <a:solidFill>
                <a:schemeClr val="bg1"/>
              </a:solidFill>
            </a:rPr>
            <a:t>4-bar Lifter</a:t>
          </a:r>
          <a:r>
            <a:rPr lang="en-US" sz="1200" b="0" baseline="0">
              <a:solidFill>
                <a:schemeClr val="bg1"/>
              </a:solidFill>
            </a:rPr>
            <a:t> </a:t>
          </a:r>
          <a:r>
            <a:rPr lang="en-US" sz="1050" b="0" baseline="0">
              <a:solidFill>
                <a:schemeClr val="bg1"/>
              </a:solidFill>
            </a:rPr>
            <a:t>- </a:t>
          </a:r>
          <a:r>
            <a:rPr lang="en-US" sz="1000" baseline="0">
              <a:solidFill>
                <a:schemeClr val="bg1"/>
              </a:solidFill>
            </a:rPr>
            <a:t>Torque powered 4-bar combat robot lifter design aid. By Mark Joerger from a design tool by Adam Wrigley. Calculation engine by Alex Slocum [modified]</a:t>
          </a:r>
          <a:endParaRPr lang="en-US" sz="1000">
            <a:solidFill>
              <a:schemeClr val="bg1"/>
            </a:solidFill>
          </a:endParaRPr>
        </a:p>
      </xdr:txBody>
    </xdr:sp>
    <xdr:clientData/>
  </xdr:twoCellAnchor>
  <xdr:twoCellAnchor>
    <xdr:from>
      <xdr:col>1</xdr:col>
      <xdr:colOff>19050</xdr:colOff>
      <xdr:row>15</xdr:row>
      <xdr:rowOff>9525</xdr:rowOff>
    </xdr:from>
    <xdr:to>
      <xdr:col>9</xdr:col>
      <xdr:colOff>19050</xdr:colOff>
      <xdr:row>30</xdr:row>
      <xdr:rowOff>66675</xdr:rowOff>
    </xdr:to>
    <xdr:graphicFrame macro="">
      <xdr:nvGraphicFramePr>
        <xdr:cNvPr id="10664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85725</xdr:colOff>
      <xdr:row>6</xdr:row>
      <xdr:rowOff>133350</xdr:rowOff>
    </xdr:from>
    <xdr:to>
      <xdr:col>9</xdr:col>
      <xdr:colOff>523875</xdr:colOff>
      <xdr:row>14</xdr:row>
      <xdr:rowOff>19050</xdr:rowOff>
    </xdr:to>
    <xdr:pic>
      <xdr:nvPicPr>
        <xdr:cNvPr id="1066464" name="Picture 3"/>
        <xdr:cNvPicPr>
          <a:picLocks noChangeAspect="1"/>
        </xdr:cNvPicPr>
      </xdr:nvPicPr>
      <xdr:blipFill>
        <a:blip xmlns:r="http://schemas.openxmlformats.org/officeDocument/2006/relationships" r:embed="rId4" cstate="print"/>
        <a:srcRect/>
        <a:stretch>
          <a:fillRect/>
        </a:stretch>
      </xdr:blipFill>
      <xdr:spPr bwMode="auto">
        <a:xfrm>
          <a:off x="2524125" y="1123950"/>
          <a:ext cx="2876550" cy="1200150"/>
        </a:xfrm>
        <a:prstGeom prst="rect">
          <a:avLst/>
        </a:prstGeom>
        <a:noFill/>
        <a:ln w="9525">
          <a:solidFill>
            <a:srgbClr val="0070C0"/>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1</xdr:row>
      <xdr:rowOff>57150</xdr:rowOff>
    </xdr:from>
    <xdr:to>
      <xdr:col>5</xdr:col>
      <xdr:colOff>238125</xdr:colOff>
      <xdr:row>15</xdr:row>
      <xdr:rowOff>38100</xdr:rowOff>
    </xdr:to>
    <xdr:pic>
      <xdr:nvPicPr>
        <xdr:cNvPr id="983463" name="Picture 46" descr="4 bar instant center"/>
        <xdr:cNvPicPr>
          <a:picLocks noChangeAspect="1" noChangeArrowheads="1"/>
        </xdr:cNvPicPr>
      </xdr:nvPicPr>
      <xdr:blipFill>
        <a:blip xmlns:r="http://schemas.openxmlformats.org/officeDocument/2006/relationships" r:embed="rId1" cstate="print"/>
        <a:srcRect/>
        <a:stretch>
          <a:fillRect/>
        </a:stretch>
      </xdr:blipFill>
      <xdr:spPr bwMode="auto">
        <a:xfrm>
          <a:off x="85725" y="219075"/>
          <a:ext cx="3200400" cy="2247900"/>
        </a:xfrm>
        <a:prstGeom prst="rect">
          <a:avLst/>
        </a:prstGeom>
        <a:solidFill>
          <a:srgbClr val="FFFFFF"/>
        </a:solidFill>
        <a:ln w="9525">
          <a:solidFill>
            <a:srgbClr val="000000"/>
          </a:solidFill>
          <a:miter lim="800000"/>
          <a:headEnd/>
          <a:tailEnd/>
        </a:ln>
      </xdr:spPr>
    </xdr:pic>
    <xdr:clientData/>
  </xdr:twoCellAnchor>
  <xdr:twoCellAnchor editAs="oneCell">
    <xdr:from>
      <xdr:col>5</xdr:col>
      <xdr:colOff>352425</xdr:colOff>
      <xdr:row>1</xdr:row>
      <xdr:rowOff>66675</xdr:rowOff>
    </xdr:from>
    <xdr:to>
      <xdr:col>9</xdr:col>
      <xdr:colOff>542925</xdr:colOff>
      <xdr:row>15</xdr:row>
      <xdr:rowOff>38100</xdr:rowOff>
    </xdr:to>
    <xdr:pic>
      <xdr:nvPicPr>
        <xdr:cNvPr id="983464" name="Picture 47" descr="4 bar force calculations"/>
        <xdr:cNvPicPr>
          <a:picLocks noChangeAspect="1" noChangeArrowheads="1"/>
        </xdr:cNvPicPr>
      </xdr:nvPicPr>
      <xdr:blipFill>
        <a:blip xmlns:r="http://schemas.openxmlformats.org/officeDocument/2006/relationships" r:embed="rId2" cstate="print"/>
        <a:srcRect/>
        <a:stretch>
          <a:fillRect/>
        </a:stretch>
      </xdr:blipFill>
      <xdr:spPr bwMode="auto">
        <a:xfrm>
          <a:off x="3400425" y="228600"/>
          <a:ext cx="2628900" cy="2238375"/>
        </a:xfrm>
        <a:prstGeom prst="rect">
          <a:avLst/>
        </a:prstGeom>
        <a:solidFill>
          <a:srgbClr val="FFFFFF"/>
        </a:solidFill>
        <a:ln w="9525">
          <a:solidFill>
            <a:srgbClr val="000000"/>
          </a:solidFill>
          <a:miter lim="800000"/>
          <a:headEnd/>
          <a:tailEnd/>
        </a:ln>
      </xdr:spPr>
    </xdr:pic>
    <xdr:clientData/>
  </xdr:twoCellAnchor>
  <xdr:twoCellAnchor editAs="oneCell">
    <xdr:from>
      <xdr:col>10</xdr:col>
      <xdr:colOff>28575</xdr:colOff>
      <xdr:row>24</xdr:row>
      <xdr:rowOff>19050</xdr:rowOff>
    </xdr:from>
    <xdr:to>
      <xdr:col>14</xdr:col>
      <xdr:colOff>571500</xdr:colOff>
      <xdr:row>37</xdr:row>
      <xdr:rowOff>19050</xdr:rowOff>
    </xdr:to>
    <xdr:pic>
      <xdr:nvPicPr>
        <xdr:cNvPr id="983465" name="Picture 4"/>
        <xdr:cNvPicPr>
          <a:picLocks noChangeAspect="1"/>
        </xdr:cNvPicPr>
      </xdr:nvPicPr>
      <xdr:blipFill>
        <a:blip xmlns:r="http://schemas.openxmlformats.org/officeDocument/2006/relationships" r:embed="rId3" cstate="print"/>
        <a:srcRect/>
        <a:stretch>
          <a:fillRect/>
        </a:stretch>
      </xdr:blipFill>
      <xdr:spPr bwMode="auto">
        <a:xfrm>
          <a:off x="6324600" y="3905250"/>
          <a:ext cx="4238625" cy="2133600"/>
        </a:xfrm>
        <a:prstGeom prst="rect">
          <a:avLst/>
        </a:prstGeom>
        <a:noFill/>
        <a:ln w="9525">
          <a:solidFill>
            <a:srgbClr val="000000"/>
          </a:solidFill>
          <a:miter lim="800000"/>
          <a:headEnd/>
          <a:tailEnd/>
        </a:ln>
      </xdr:spPr>
    </xdr:pic>
    <xdr:clientData/>
  </xdr:twoCellAnchor>
  <xdr:twoCellAnchor editAs="oneCell">
    <xdr:from>
      <xdr:col>0</xdr:col>
      <xdr:colOff>95250</xdr:colOff>
      <xdr:row>16</xdr:row>
      <xdr:rowOff>0</xdr:rowOff>
    </xdr:from>
    <xdr:to>
      <xdr:col>9</xdr:col>
      <xdr:colOff>523875</xdr:colOff>
      <xdr:row>37</xdr:row>
      <xdr:rowOff>104775</xdr:rowOff>
    </xdr:to>
    <xdr:pic>
      <xdr:nvPicPr>
        <xdr:cNvPr id="983466" name="Picture 5"/>
        <xdr:cNvPicPr>
          <a:picLocks noChangeAspect="1"/>
        </xdr:cNvPicPr>
      </xdr:nvPicPr>
      <xdr:blipFill>
        <a:blip xmlns:r="http://schemas.openxmlformats.org/officeDocument/2006/relationships" r:embed="rId4" cstate="print"/>
        <a:srcRect/>
        <a:stretch>
          <a:fillRect/>
        </a:stretch>
      </xdr:blipFill>
      <xdr:spPr bwMode="auto">
        <a:xfrm>
          <a:off x="95250" y="2590800"/>
          <a:ext cx="5915025" cy="3533775"/>
        </a:xfrm>
        <a:prstGeom prst="rect">
          <a:avLst/>
        </a:prstGeom>
        <a:no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sheetPr codeName="Sheet2">
    <pageSetUpPr fitToPage="1"/>
  </sheetPr>
  <dimension ref="B1:S5"/>
  <sheetViews>
    <sheetView showGridLines="0" showRowColHeaders="0" tabSelected="1" workbookViewId="0">
      <selection activeCell="B1" sqref="B1"/>
    </sheetView>
  </sheetViews>
  <sheetFormatPr defaultRowHeight="12.75"/>
  <cols>
    <col min="1" max="1" width="2.140625" style="101" customWidth="1"/>
    <col min="2" max="16384" width="9.140625" style="101"/>
  </cols>
  <sheetData>
    <row r="1" spans="2:19">
      <c r="B1" s="115"/>
    </row>
    <row r="5" spans="2:19">
      <c r="S5" s="114" t="s">
        <v>92</v>
      </c>
    </row>
  </sheetData>
  <sheetProtection sheet="1" objects="1" scenarios="1" selectLockedCells="1"/>
  <printOptions horizontalCentered="1" verticalCentered="1"/>
  <pageMargins left="0.25" right="0.25"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sheetPr codeName="Sheet1"/>
  <dimension ref="B1:BJ194"/>
  <sheetViews>
    <sheetView showRowColHeaders="0" zoomScaleNormal="100" workbookViewId="0">
      <selection activeCell="E4" sqref="E4"/>
    </sheetView>
  </sheetViews>
  <sheetFormatPr defaultRowHeight="11.25"/>
  <cols>
    <col min="1" max="1" width="3.28515625" style="4" customWidth="1"/>
    <col min="2" max="2" width="3.42578125" style="4" customWidth="1"/>
    <col min="3" max="3" width="6.140625" style="1" customWidth="1"/>
    <col min="4" max="4" width="14.5703125" style="1" customWidth="1"/>
    <col min="5" max="9" width="9.140625" style="1" customWidth="1"/>
    <col min="10" max="10" width="9.140625" style="1"/>
    <col min="11" max="12" width="9.140625" style="1" customWidth="1"/>
    <col min="13" max="15" width="9.140625" style="1"/>
    <col min="16" max="16" width="9.140625" style="2"/>
    <col min="17" max="18" width="9.140625" style="1"/>
    <col min="19" max="21" width="9.140625" style="2"/>
    <col min="22" max="22" width="9.140625" style="3"/>
    <col min="23" max="23" width="9.140625" style="3" customWidth="1"/>
    <col min="24" max="41" width="9.140625" style="4"/>
    <col min="42" max="46" width="9.140625" style="3"/>
    <col min="47" max="16384" width="9.140625" style="4"/>
  </cols>
  <sheetData>
    <row r="1" spans="2:46" ht="15" customHeight="1">
      <c r="P1" s="1"/>
      <c r="R1" s="3"/>
      <c r="S1" s="1"/>
      <c r="T1" s="1"/>
      <c r="U1" s="1"/>
      <c r="V1" s="1"/>
      <c r="W1" s="4"/>
      <c r="AL1" s="3"/>
      <c r="AM1" s="3"/>
      <c r="AN1" s="3"/>
      <c r="AO1" s="3"/>
      <c r="AQ1" s="4"/>
      <c r="AR1" s="4"/>
      <c r="AS1" s="4"/>
      <c r="AT1" s="4"/>
    </row>
    <row r="2" spans="2:46" ht="12.75" customHeight="1">
      <c r="P2" s="1"/>
      <c r="R2" s="3"/>
      <c r="S2" s="1"/>
      <c r="T2" s="1"/>
      <c r="U2" s="1"/>
      <c r="V2" s="1"/>
      <c r="W2" s="4"/>
      <c r="AL2" s="3"/>
      <c r="AM2" s="3"/>
      <c r="AN2" s="3"/>
      <c r="AO2" s="3"/>
      <c r="AQ2" s="4"/>
      <c r="AR2" s="4"/>
      <c r="AS2" s="4"/>
      <c r="AT2" s="4"/>
    </row>
    <row r="3" spans="2:46" ht="12.6" customHeight="1" thickBot="1">
      <c r="B3" s="150" t="s">
        <v>49</v>
      </c>
      <c r="C3" s="151"/>
      <c r="D3" s="152"/>
      <c r="E3" s="104" t="s">
        <v>44</v>
      </c>
      <c r="F3" s="19"/>
      <c r="G3" s="20"/>
      <c r="H3" s="8"/>
      <c r="I3" s="8"/>
      <c r="J3" s="8"/>
      <c r="K3" s="8"/>
      <c r="L3" s="20"/>
      <c r="M3" s="20"/>
      <c r="P3" s="1"/>
      <c r="S3" s="1"/>
      <c r="T3"/>
      <c r="U3" s="1"/>
    </row>
    <row r="4" spans="2:46" ht="12.75" customHeight="1">
      <c r="B4" s="139" t="s">
        <v>45</v>
      </c>
      <c r="C4" s="153" t="s">
        <v>90</v>
      </c>
      <c r="D4" s="154"/>
      <c r="E4" s="21">
        <v>5.7</v>
      </c>
      <c r="F4" s="8"/>
      <c r="G4" s="8"/>
      <c r="H4" s="8"/>
      <c r="I4" s="5"/>
      <c r="L4" s="4"/>
      <c r="P4" s="1"/>
      <c r="S4" s="1"/>
      <c r="T4" s="1"/>
      <c r="U4" s="1"/>
    </row>
    <row r="5" spans="2:46" ht="12.75">
      <c r="B5" s="140"/>
      <c r="C5" s="155" t="s">
        <v>87</v>
      </c>
      <c r="D5" s="156"/>
      <c r="E5" s="22">
        <v>2.1</v>
      </c>
      <c r="F5" s="8"/>
      <c r="G5" s="8"/>
      <c r="H5" s="8"/>
      <c r="I5" s="5"/>
      <c r="L5" s="4"/>
      <c r="P5" s="1"/>
      <c r="S5" s="1"/>
      <c r="T5" s="1"/>
      <c r="U5" s="1"/>
    </row>
    <row r="6" spans="2:46" ht="12.75">
      <c r="B6" s="140"/>
      <c r="C6" s="155" t="s">
        <v>88</v>
      </c>
      <c r="D6" s="156"/>
      <c r="E6" s="22">
        <v>4.5</v>
      </c>
      <c r="F6" s="8"/>
      <c r="G6" s="8"/>
      <c r="H6" s="8"/>
      <c r="I6" s="5"/>
      <c r="L6" s="4"/>
      <c r="P6" s="1"/>
      <c r="S6" s="1"/>
      <c r="T6" s="1"/>
      <c r="U6" s="1"/>
    </row>
    <row r="7" spans="2:46" ht="12.75">
      <c r="B7" s="140"/>
      <c r="C7" s="155" t="s">
        <v>89</v>
      </c>
      <c r="D7" s="156"/>
      <c r="E7" s="22">
        <v>3.5</v>
      </c>
      <c r="F7" s="4"/>
      <c r="G7" s="4"/>
      <c r="H7" s="4"/>
      <c r="I7" s="4"/>
      <c r="L7" s="4"/>
      <c r="P7" s="1"/>
      <c r="S7" s="1"/>
      <c r="T7" s="1"/>
      <c r="U7" s="1"/>
    </row>
    <row r="8" spans="2:46" ht="12">
      <c r="B8" s="140"/>
      <c r="C8" s="137" t="str">
        <f>"Bind-free Crank: D = "&amp;IF(a&gt;b, MAX(ABS(a+b-cc),ABS(cc+b-a)), MAX(ABS(a+b-cc),ABS(b-cc-a)))&amp;" to "&amp;IF(a&gt;b, MIN(ABS(a+b+cc),ABS(cc+a-b)), ABS(b+cc-a))</f>
        <v>Bind-free Crank: D = 3.3 to 8.1</v>
      </c>
      <c r="D8" s="137"/>
      <c r="E8" s="138"/>
      <c r="F8" s="8"/>
      <c r="G8" s="8"/>
      <c r="H8" s="8"/>
      <c r="I8" s="8"/>
      <c r="L8" s="4"/>
      <c r="P8" s="1"/>
      <c r="S8" s="1"/>
      <c r="T8" s="1"/>
      <c r="U8" s="1"/>
    </row>
    <row r="9" spans="2:46" ht="12.75">
      <c r="B9" s="140"/>
      <c r="C9" s="155" t="s">
        <v>51</v>
      </c>
      <c r="D9" s="156"/>
      <c r="E9" s="23">
        <v>7.9</v>
      </c>
      <c r="F9" s="10"/>
      <c r="G9" s="4"/>
      <c r="H9" s="4"/>
      <c r="I9" s="4"/>
      <c r="L9" s="4"/>
      <c r="P9" s="1"/>
      <c r="S9" s="1"/>
      <c r="T9" s="1"/>
      <c r="U9" s="1"/>
    </row>
    <row r="10" spans="2:46" ht="12.75">
      <c r="B10" s="140"/>
      <c r="C10" s="155" t="s">
        <v>52</v>
      </c>
      <c r="D10" s="156"/>
      <c r="E10" s="23">
        <v>-1.6</v>
      </c>
      <c r="F10" s="10"/>
      <c r="G10" s="4"/>
      <c r="H10" s="4"/>
      <c r="I10" s="4"/>
      <c r="L10" s="4"/>
      <c r="P10" s="1"/>
      <c r="S10" s="1"/>
      <c r="T10" s="1"/>
      <c r="U10" s="1"/>
    </row>
    <row r="11" spans="2:46" ht="12.75" customHeight="1" thickBot="1">
      <c r="B11" s="141"/>
      <c r="C11" s="142" t="s">
        <v>69</v>
      </c>
      <c r="D11" s="143"/>
      <c r="E11" s="102">
        <v>1</v>
      </c>
      <c r="F11" s="10"/>
      <c r="G11" s="4"/>
      <c r="H11" s="4"/>
      <c r="I11" s="4"/>
      <c r="L11" s="4"/>
      <c r="P11" s="1"/>
      <c r="S11" s="1"/>
      <c r="T11" s="1"/>
      <c r="U11" s="1"/>
    </row>
    <row r="12" spans="2:46" ht="13.9" customHeight="1">
      <c r="B12" s="135" t="s">
        <v>50</v>
      </c>
      <c r="C12" s="144" t="s">
        <v>67</v>
      </c>
      <c r="D12" s="145"/>
      <c r="E12" s="24">
        <v>10</v>
      </c>
      <c r="F12" s="10"/>
      <c r="G12" s="4"/>
      <c r="H12" s="4"/>
      <c r="I12" s="4"/>
      <c r="L12" s="4"/>
      <c r="M12" s="4"/>
      <c r="P12" s="1"/>
      <c r="S12" s="27"/>
      <c r="T12" s="1"/>
      <c r="U12" s="1"/>
    </row>
    <row r="13" spans="2:46" ht="13.9" customHeight="1" thickBot="1">
      <c r="B13" s="136"/>
      <c r="C13" s="146" t="s">
        <v>68</v>
      </c>
      <c r="D13" s="147"/>
      <c r="E13" s="25">
        <v>140</v>
      </c>
      <c r="F13" s="10"/>
      <c r="G13" s="4"/>
      <c r="H13" s="4"/>
      <c r="I13" s="4"/>
      <c r="L13" s="4"/>
      <c r="M13" s="4"/>
      <c r="P13" s="1"/>
      <c r="S13" s="1"/>
      <c r="T13" s="1"/>
      <c r="U13" s="1"/>
    </row>
    <row r="14" spans="2:46" ht="13.5" customHeight="1" thickBot="1">
      <c r="B14" s="105" t="s">
        <v>46</v>
      </c>
      <c r="C14" s="148" t="s">
        <v>86</v>
      </c>
      <c r="D14" s="149"/>
      <c r="E14" s="26">
        <v>48</v>
      </c>
      <c r="F14" s="10"/>
      <c r="G14" s="4"/>
      <c r="H14" s="4"/>
      <c r="I14" s="4"/>
      <c r="P14" s="1"/>
      <c r="S14" s="1"/>
      <c r="T14" s="1"/>
      <c r="U14" s="1"/>
    </row>
    <row r="15" spans="2:46" ht="17.25" customHeight="1">
      <c r="C15" s="4"/>
      <c r="D15" s="4"/>
      <c r="E15" s="4"/>
      <c r="K15" s="131" t="str">
        <f>IF(ISERR(MAX(Data!$Z$4:$Z$104)),"FATAL ERROR -- Keep height of 'Extension: R' above [0, 0]","")</f>
        <v/>
      </c>
      <c r="L15" s="131"/>
      <c r="M15" s="131"/>
      <c r="N15" s="131"/>
      <c r="O15" s="131"/>
      <c r="P15" s="131"/>
      <c r="Q15" s="131"/>
    </row>
    <row r="16" spans="2:46" ht="12.75" customHeight="1">
      <c r="B16" s="5"/>
      <c r="C16" s="5"/>
      <c r="D16" s="5"/>
      <c r="E16" s="5"/>
      <c r="F16" s="5"/>
      <c r="G16" s="5"/>
      <c r="H16" s="5"/>
      <c r="O16" s="2"/>
      <c r="P16" s="1"/>
      <c r="R16" s="2"/>
      <c r="U16" s="3"/>
      <c r="W16" s="4"/>
      <c r="AO16" s="3"/>
      <c r="AT16" s="4"/>
    </row>
    <row r="17" spans="2:46" ht="12.75" customHeight="1">
      <c r="B17" s="5"/>
      <c r="C17" s="5"/>
      <c r="D17" s="5"/>
      <c r="E17" s="5"/>
      <c r="F17" s="5"/>
      <c r="G17" s="5"/>
      <c r="H17" s="5"/>
      <c r="O17" s="2"/>
      <c r="P17" s="1"/>
      <c r="R17" s="2"/>
      <c r="U17" s="3"/>
      <c r="W17" s="4"/>
      <c r="AO17" s="3"/>
      <c r="AT17" s="4"/>
    </row>
    <row r="18" spans="2:46" ht="12.75" customHeight="1">
      <c r="B18" s="5"/>
      <c r="C18" s="5"/>
      <c r="D18" s="5"/>
      <c r="E18" s="5"/>
      <c r="F18" s="5"/>
      <c r="G18" s="5"/>
      <c r="H18" s="5"/>
      <c r="O18" s="2"/>
      <c r="P18" s="1"/>
      <c r="R18" s="2"/>
      <c r="U18" s="3"/>
      <c r="W18" s="4"/>
      <c r="AO18" s="3"/>
      <c r="AT18" s="4"/>
    </row>
    <row r="19" spans="2:46" ht="12.75" customHeight="1">
      <c r="B19" s="5"/>
      <c r="C19" s="5"/>
      <c r="D19" s="5"/>
      <c r="E19" s="5"/>
      <c r="F19" s="5"/>
      <c r="G19" s="5"/>
      <c r="H19" s="5"/>
      <c r="O19" s="2"/>
      <c r="P19" s="1"/>
      <c r="R19" s="2"/>
      <c r="U19" s="3"/>
      <c r="W19" s="4"/>
      <c r="AO19" s="3"/>
      <c r="AT19" s="4"/>
    </row>
    <row r="20" spans="2:46" ht="12.75" customHeight="1">
      <c r="B20" s="5"/>
      <c r="C20" s="5"/>
      <c r="D20" s="5"/>
      <c r="E20" s="5"/>
      <c r="F20" s="5"/>
      <c r="G20" s="5"/>
      <c r="H20" s="5"/>
      <c r="O20" s="2"/>
      <c r="P20" s="1"/>
      <c r="R20" s="2"/>
      <c r="U20" s="3"/>
      <c r="W20" s="4"/>
      <c r="AO20" s="3"/>
      <c r="AT20" s="4"/>
    </row>
    <row r="21" spans="2:46" ht="12.75" customHeight="1">
      <c r="B21" s="1"/>
      <c r="H21" s="8"/>
      <c r="I21" s="7"/>
      <c r="J21" s="7"/>
      <c r="K21" s="7"/>
      <c r="L21" s="7"/>
      <c r="O21" s="2"/>
      <c r="P21" s="1"/>
      <c r="T21" s="1"/>
      <c r="U21" s="1"/>
      <c r="W21" s="4"/>
      <c r="AO21" s="3"/>
      <c r="AT21" s="4"/>
    </row>
    <row r="22" spans="2:46" ht="12.75" customHeight="1">
      <c r="B22" s="1"/>
      <c r="H22" s="10"/>
      <c r="I22" s="7"/>
      <c r="J22" s="7"/>
      <c r="L22" s="7"/>
      <c r="O22" s="2"/>
      <c r="P22" s="1"/>
      <c r="T22" s="1"/>
      <c r="U22" s="1"/>
      <c r="W22" s="4"/>
      <c r="AO22" s="3"/>
      <c r="AT22" s="4"/>
    </row>
    <row r="23" spans="2:46" ht="12.75" customHeight="1">
      <c r="B23" s="1"/>
      <c r="H23" s="10"/>
      <c r="I23" s="7"/>
      <c r="J23" s="7"/>
      <c r="L23" s="7"/>
      <c r="O23" s="2"/>
      <c r="P23" s="1"/>
      <c r="T23" s="1"/>
      <c r="U23" s="1"/>
      <c r="W23" s="4"/>
      <c r="AO23" s="3"/>
      <c r="AT23" s="4"/>
    </row>
    <row r="24" spans="2:46" ht="12.75" customHeight="1">
      <c r="B24" s="1"/>
      <c r="H24" s="10"/>
      <c r="I24" s="7"/>
      <c r="J24" s="7"/>
      <c r="L24" s="7"/>
      <c r="O24" s="2"/>
      <c r="P24" s="1"/>
      <c r="S24" s="1"/>
      <c r="T24" s="1"/>
      <c r="U24" s="1"/>
      <c r="W24" s="4"/>
      <c r="AO24" s="3"/>
      <c r="AT24" s="4"/>
    </row>
    <row r="25" spans="2:46" ht="12.75" customHeight="1">
      <c r="B25" s="1"/>
      <c r="H25" s="10"/>
      <c r="I25" s="7"/>
      <c r="J25" s="7"/>
      <c r="L25" s="7"/>
      <c r="O25" s="2"/>
      <c r="P25" s="1"/>
      <c r="S25" s="1"/>
      <c r="T25" s="1"/>
      <c r="U25" s="1"/>
      <c r="W25" s="4"/>
      <c r="AO25" s="3"/>
      <c r="AT25" s="4"/>
    </row>
    <row r="26" spans="2:46" ht="12.75" customHeight="1">
      <c r="B26" s="1"/>
      <c r="H26" s="10"/>
      <c r="I26" s="7"/>
      <c r="J26" s="7"/>
      <c r="L26" s="7"/>
      <c r="O26" s="2"/>
      <c r="P26" s="1"/>
      <c r="R26" s="2"/>
      <c r="T26" s="1"/>
      <c r="U26" s="3"/>
      <c r="W26" s="4"/>
      <c r="AO26" s="3"/>
      <c r="AT26" s="4"/>
    </row>
    <row r="27" spans="2:46" ht="12.75" customHeight="1">
      <c r="B27" s="1"/>
      <c r="H27" s="10"/>
      <c r="I27" s="7"/>
      <c r="J27" s="7"/>
      <c r="L27" s="7"/>
      <c r="O27" s="2"/>
      <c r="P27" s="1"/>
      <c r="R27" s="2"/>
      <c r="T27" s="1"/>
      <c r="U27" s="3"/>
      <c r="W27" s="4"/>
      <c r="AO27" s="3"/>
      <c r="AT27" s="4"/>
    </row>
    <row r="28" spans="2:46" ht="12.75" customHeight="1">
      <c r="B28" s="1"/>
      <c r="H28" s="10"/>
      <c r="I28" s="121" t="s">
        <v>101</v>
      </c>
      <c r="J28" s="121" t="s">
        <v>100</v>
      </c>
      <c r="L28" s="7"/>
      <c r="O28" s="2"/>
      <c r="P28" s="1"/>
      <c r="R28" s="2"/>
      <c r="T28" s="1"/>
      <c r="U28" s="3"/>
      <c r="W28" s="4"/>
      <c r="AO28" s="3"/>
      <c r="AT28" s="4"/>
    </row>
    <row r="29" spans="2:46" ht="12.75" customHeight="1">
      <c r="B29" s="1"/>
      <c r="H29" s="10"/>
      <c r="I29" s="120" t="b">
        <f>ISNA(Data!AA$104)</f>
        <v>1</v>
      </c>
      <c r="J29" s="120" t="b">
        <f>ISERR(MAX(Data!$Z$4:$Z$104))</f>
        <v>0</v>
      </c>
      <c r="L29" s="7"/>
      <c r="O29" s="2"/>
      <c r="P29" s="1"/>
      <c r="R29" s="2"/>
      <c r="T29" s="1"/>
      <c r="U29" s="3"/>
      <c r="W29" s="4"/>
      <c r="AO29" s="3"/>
      <c r="AT29" s="4"/>
    </row>
    <row r="30" spans="2:46" ht="12.75" customHeight="1">
      <c r="B30" s="1"/>
      <c r="H30" s="7"/>
      <c r="I30" s="7"/>
      <c r="J30" s="7"/>
      <c r="K30" s="7"/>
      <c r="L30" s="7"/>
      <c r="O30" s="2"/>
      <c r="P30" s="1"/>
      <c r="R30" s="2"/>
      <c r="T30" s="1"/>
      <c r="U30" s="3"/>
      <c r="W30" s="4"/>
      <c r="AO30" s="3"/>
      <c r="AT30" s="4"/>
    </row>
    <row r="31" spans="2:46" ht="12.75" customHeight="1">
      <c r="B31" s="1"/>
      <c r="H31" s="10"/>
      <c r="I31" s="7"/>
      <c r="J31" s="7"/>
      <c r="K31" s="7"/>
      <c r="L31" s="7"/>
      <c r="O31" s="2"/>
      <c r="P31" s="1"/>
      <c r="R31" s="2"/>
      <c r="T31" s="1"/>
      <c r="U31" s="3"/>
      <c r="W31" s="4"/>
      <c r="AO31" s="3"/>
      <c r="AT31" s="4"/>
    </row>
    <row r="32" spans="2:46" ht="12.75" customHeight="1">
      <c r="D32" s="132" t="str">
        <f>"Unpowered Rocker rotation of "&amp;ROUND(Data!Y104*180/PI(),0)&amp;" degrees"</f>
        <v>Unpowered Rocker rotation of 88 degrees</v>
      </c>
      <c r="E32" s="133"/>
      <c r="F32" s="133"/>
      <c r="G32" s="133"/>
      <c r="H32" s="134"/>
      <c r="K32" s="132" t="str">
        <f>IF(ISNA(Data!AA$104),"Exceeds Safe ","")&amp;"Powered Rocker rotation of "&amp;ROUND(MAX(Data!$Z$4:$Z$104),0)&amp;" degrees"</f>
        <v>Exceeds Safe Powered Rocker rotation of 87 degrees</v>
      </c>
      <c r="L32" s="133"/>
      <c r="M32" s="133"/>
      <c r="N32" s="133"/>
      <c r="O32" s="133"/>
      <c r="P32" s="134"/>
      <c r="R32" s="2"/>
      <c r="T32" s="1"/>
      <c r="U32" s="3"/>
      <c r="W32" s="4"/>
      <c r="AO32" s="3"/>
      <c r="AT32" s="4"/>
    </row>
    <row r="33" spans="2:62" ht="12.75">
      <c r="B33" s="1"/>
      <c r="C33" s="38"/>
      <c r="D33" s="128" t="str">
        <f>"at powered Crank Angle of "&amp;E13&amp;" degrees."</f>
        <v>at powered Crank Angle of 140 degrees.</v>
      </c>
      <c r="E33" s="129"/>
      <c r="F33" s="129"/>
      <c r="G33" s="129"/>
      <c r="H33" s="130"/>
      <c r="K33" s="128" t="str">
        <f>IF(ISNA(Data!AA$104),"Limit 'End Crank Angle' to ","at unpowered Crank Angle of ")&amp;ROUND(MAX(Data!$AD$4:$AD$104),0)&amp;" degrees"</f>
        <v>Limit 'End Crank Angle' to 137 degrees</v>
      </c>
      <c r="L33" s="129"/>
      <c r="M33" s="129"/>
      <c r="N33" s="129"/>
      <c r="O33" s="129"/>
      <c r="P33" s="130"/>
      <c r="V33" s="2"/>
      <c r="W33" s="2"/>
      <c r="X33" s="2"/>
      <c r="Y33" s="2"/>
      <c r="Z33" s="2"/>
      <c r="AA33" s="2"/>
      <c r="AB33" s="2"/>
      <c r="AO33" s="3"/>
      <c r="AT33" s="4"/>
    </row>
    <row r="34" spans="2:62">
      <c r="B34" s="6"/>
      <c r="V34" s="2"/>
      <c r="W34" s="2"/>
      <c r="X34" s="2"/>
      <c r="Y34" s="2"/>
      <c r="Z34" s="2"/>
      <c r="AA34" s="2"/>
      <c r="AB34" s="2"/>
    </row>
    <row r="35" spans="2:62">
      <c r="I35" s="4"/>
      <c r="J35" s="4"/>
      <c r="Q35" s="4"/>
      <c r="R35" s="4"/>
      <c r="V35" s="2"/>
      <c r="W35" s="2"/>
      <c r="X35" s="2"/>
      <c r="Y35" s="2"/>
      <c r="Z35" s="2"/>
      <c r="AA35" s="2"/>
      <c r="AB35" s="2"/>
    </row>
    <row r="36" spans="2:62">
      <c r="C36" s="4"/>
      <c r="D36" s="4"/>
      <c r="E36" s="4"/>
      <c r="F36" s="4"/>
      <c r="G36" s="4"/>
      <c r="H36" s="4"/>
      <c r="I36" s="4"/>
      <c r="J36" s="4"/>
      <c r="Q36" s="4"/>
      <c r="R36" s="4"/>
      <c r="V36" s="2"/>
      <c r="W36" s="2"/>
      <c r="X36" s="2"/>
      <c r="Y36" s="2"/>
      <c r="Z36" s="2"/>
      <c r="AA36" s="2"/>
      <c r="AB36" s="2"/>
      <c r="AC36" s="7"/>
      <c r="AD36" s="1"/>
      <c r="AE36" s="1"/>
      <c r="AF36" s="2"/>
      <c r="AG36" s="1"/>
      <c r="AH36" s="1"/>
      <c r="AI36" s="2"/>
      <c r="AJ36" s="2"/>
      <c r="AK36" s="2"/>
      <c r="AL36" s="3"/>
      <c r="AM36" s="3"/>
      <c r="AP36" s="4"/>
      <c r="AQ36" s="4"/>
      <c r="AR36" s="4"/>
      <c r="AS36" s="4"/>
      <c r="AT36" s="4"/>
      <c r="BF36" s="3"/>
      <c r="BG36" s="3"/>
      <c r="BH36" s="3"/>
      <c r="BI36" s="3"/>
      <c r="BJ36" s="3"/>
    </row>
    <row r="37" spans="2:62">
      <c r="B37" s="1"/>
      <c r="J37" s="4"/>
      <c r="K37" s="4"/>
      <c r="L37" s="4"/>
      <c r="M37" s="4"/>
      <c r="N37" s="4"/>
      <c r="O37" s="4"/>
      <c r="P37" s="4"/>
      <c r="Q37" s="4"/>
      <c r="R37" s="4"/>
      <c r="V37" s="2"/>
      <c r="W37" s="2"/>
      <c r="X37" s="2"/>
      <c r="Y37" s="2"/>
      <c r="Z37" s="2"/>
      <c r="AA37" s="2"/>
      <c r="AB37" s="2"/>
      <c r="AC37" s="7"/>
      <c r="AD37" s="1"/>
      <c r="AE37" s="1"/>
      <c r="AF37" s="2"/>
      <c r="AG37" s="1"/>
      <c r="AH37" s="1"/>
      <c r="AI37" s="2"/>
      <c r="AJ37" s="2"/>
      <c r="AK37" s="2"/>
      <c r="AL37" s="3"/>
      <c r="AM37" s="3"/>
      <c r="AP37" s="4"/>
      <c r="AQ37" s="4"/>
      <c r="AR37" s="4"/>
      <c r="AS37" s="4"/>
      <c r="AT37" s="4"/>
      <c r="BF37" s="3"/>
      <c r="BG37" s="3"/>
      <c r="BH37" s="3"/>
      <c r="BI37" s="3"/>
      <c r="BJ37" s="3"/>
    </row>
    <row r="38" spans="2:62">
      <c r="C38" s="4"/>
      <c r="D38" s="4"/>
      <c r="E38" s="4"/>
      <c r="F38" s="4"/>
      <c r="G38" s="4"/>
      <c r="H38" s="4"/>
      <c r="I38" s="4"/>
      <c r="J38" s="4"/>
      <c r="K38" s="4"/>
      <c r="L38" s="4"/>
      <c r="M38" s="4"/>
      <c r="N38" s="4"/>
      <c r="O38" s="4"/>
      <c r="P38" s="4"/>
      <c r="Q38" s="4"/>
      <c r="R38" s="4"/>
      <c r="V38" s="2"/>
      <c r="W38" s="2"/>
      <c r="X38" s="2"/>
      <c r="Y38" s="2"/>
      <c r="Z38" s="2"/>
      <c r="AA38" s="2"/>
      <c r="AB38" s="2"/>
      <c r="AC38" s="7"/>
      <c r="AD38" s="1"/>
      <c r="AE38" s="1"/>
      <c r="AF38" s="2"/>
      <c r="AG38" s="1"/>
      <c r="AH38" s="1"/>
      <c r="AI38" s="2"/>
      <c r="AJ38" s="2"/>
      <c r="AK38" s="2"/>
      <c r="AL38" s="3"/>
      <c r="AM38" s="3"/>
      <c r="AP38" s="4"/>
      <c r="AQ38" s="4"/>
      <c r="AR38" s="4"/>
      <c r="AS38" s="4"/>
      <c r="AT38" s="4"/>
      <c r="BF38" s="3"/>
      <c r="BG38" s="3"/>
      <c r="BH38" s="3"/>
      <c r="BI38" s="3"/>
      <c r="BJ38" s="3"/>
    </row>
    <row r="39" spans="2:62">
      <c r="C39" s="4"/>
      <c r="D39" s="4"/>
      <c r="E39" s="4"/>
      <c r="F39" s="4"/>
      <c r="G39" s="4"/>
      <c r="H39" s="4"/>
      <c r="I39" s="4"/>
      <c r="J39" s="4"/>
      <c r="K39" s="4"/>
      <c r="L39" s="4"/>
      <c r="M39" s="4"/>
      <c r="N39" s="4"/>
      <c r="O39" s="4"/>
      <c r="P39" s="4"/>
      <c r="Q39" s="4"/>
      <c r="R39" s="4"/>
      <c r="S39" s="4"/>
      <c r="T39" s="4"/>
      <c r="U39" s="4"/>
      <c r="V39" s="4"/>
      <c r="W39" s="4"/>
      <c r="Z39" s="7"/>
      <c r="AA39" s="7"/>
      <c r="AB39" s="7"/>
      <c r="AC39" s="7"/>
      <c r="AD39" s="1"/>
      <c r="AE39" s="1"/>
      <c r="AF39" s="2"/>
      <c r="AG39" s="1"/>
      <c r="AH39" s="1"/>
      <c r="AI39" s="2"/>
      <c r="AJ39" s="2"/>
      <c r="AK39" s="2"/>
      <c r="AL39" s="3"/>
      <c r="AM39" s="3"/>
      <c r="AP39" s="4"/>
      <c r="AQ39" s="4"/>
      <c r="AR39" s="4"/>
      <c r="AS39" s="4"/>
      <c r="AT39" s="4"/>
      <c r="BF39" s="3"/>
      <c r="BG39" s="3"/>
      <c r="BH39" s="3"/>
      <c r="BI39" s="3"/>
      <c r="BJ39" s="3"/>
    </row>
    <row r="40" spans="2:62">
      <c r="C40" s="4"/>
      <c r="D40" s="4"/>
      <c r="E40" s="4"/>
      <c r="F40" s="4"/>
      <c r="G40" s="4"/>
      <c r="H40" s="4"/>
      <c r="I40" s="4"/>
      <c r="J40" s="4"/>
      <c r="K40" s="4"/>
      <c r="L40" s="4"/>
      <c r="M40" s="4"/>
      <c r="N40" s="4"/>
      <c r="O40" s="4"/>
      <c r="P40" s="4"/>
      <c r="Q40" s="4"/>
      <c r="R40" s="4"/>
      <c r="S40" s="4"/>
      <c r="T40" s="4"/>
      <c r="U40" s="4"/>
      <c r="V40" s="4"/>
      <c r="W40" s="4"/>
      <c r="Z40" s="7"/>
      <c r="AA40" s="7"/>
      <c r="AB40" s="7"/>
      <c r="AC40" s="7"/>
      <c r="AD40" s="1"/>
      <c r="AE40" s="1"/>
      <c r="AF40" s="2"/>
      <c r="AG40" s="1"/>
      <c r="AH40" s="1"/>
      <c r="AI40" s="2"/>
      <c r="AJ40" s="2"/>
      <c r="AK40" s="2"/>
      <c r="AL40" s="3"/>
      <c r="AM40" s="3"/>
      <c r="AP40" s="4"/>
      <c r="AQ40" s="4"/>
      <c r="AR40" s="4"/>
      <c r="AS40" s="4"/>
      <c r="AT40" s="4"/>
      <c r="BF40" s="3"/>
      <c r="BG40" s="3"/>
      <c r="BH40" s="3"/>
      <c r="BI40" s="3"/>
      <c r="BJ40" s="3"/>
    </row>
    <row r="41" spans="2:62">
      <c r="C41" s="4"/>
      <c r="D41" s="4"/>
      <c r="E41" s="4"/>
      <c r="F41" s="4"/>
      <c r="G41" s="4"/>
      <c r="H41" s="4"/>
      <c r="I41" s="4"/>
      <c r="J41" s="4"/>
      <c r="K41" s="4"/>
      <c r="L41" s="4"/>
      <c r="M41" s="4"/>
      <c r="N41" s="4"/>
      <c r="O41" s="4"/>
      <c r="P41" s="4"/>
      <c r="Q41" s="4"/>
      <c r="R41" s="4"/>
      <c r="S41" s="4"/>
      <c r="T41" s="4"/>
      <c r="U41" s="4"/>
      <c r="V41" s="4"/>
      <c r="W41" s="4"/>
      <c r="Z41" s="7"/>
      <c r="AA41" s="7"/>
      <c r="AB41" s="7"/>
      <c r="AC41" s="7"/>
      <c r="AD41" s="1"/>
      <c r="AE41" s="1"/>
      <c r="AF41" s="2"/>
      <c r="AG41" s="1"/>
      <c r="AH41" s="1"/>
      <c r="AI41" s="2"/>
      <c r="AJ41" s="2"/>
      <c r="AK41" s="2"/>
      <c r="AL41" s="3"/>
      <c r="AM41" s="3"/>
      <c r="AP41" s="4"/>
      <c r="AQ41" s="4"/>
      <c r="AR41" s="4"/>
      <c r="AS41" s="4"/>
      <c r="AT41" s="4"/>
      <c r="BF41" s="3"/>
      <c r="BG41" s="3"/>
      <c r="BH41" s="3"/>
      <c r="BI41" s="3"/>
      <c r="BJ41" s="3"/>
    </row>
    <row r="42" spans="2:62">
      <c r="C42" s="4"/>
      <c r="D42" s="4"/>
      <c r="E42" s="4"/>
      <c r="F42" s="4"/>
      <c r="G42" s="4"/>
      <c r="H42" s="4"/>
      <c r="I42" s="4"/>
      <c r="J42" s="4"/>
      <c r="K42" s="4"/>
      <c r="L42" s="4"/>
      <c r="M42" s="4"/>
      <c r="N42" s="4"/>
      <c r="O42" s="4"/>
      <c r="P42" s="4"/>
      <c r="Q42" s="4"/>
      <c r="R42" s="4"/>
      <c r="S42" s="4"/>
      <c r="T42" s="4"/>
      <c r="U42" s="4"/>
      <c r="V42" s="4"/>
      <c r="W42" s="4"/>
      <c r="Z42" s="7"/>
      <c r="AA42" s="7"/>
      <c r="AB42" s="7"/>
      <c r="AC42" s="7"/>
      <c r="AD42" s="1"/>
      <c r="AE42" s="1"/>
      <c r="AF42" s="2"/>
      <c r="AG42" s="1"/>
      <c r="AH42" s="1"/>
      <c r="AI42" s="2"/>
      <c r="AJ42" s="2"/>
      <c r="AK42" s="2"/>
      <c r="AL42" s="3"/>
      <c r="AM42" s="3"/>
      <c r="AP42" s="4"/>
      <c r="AQ42" s="4"/>
      <c r="AR42" s="4"/>
      <c r="AS42" s="4"/>
      <c r="AT42" s="4"/>
      <c r="BF42" s="3"/>
      <c r="BG42" s="3"/>
      <c r="BH42" s="3"/>
      <c r="BI42" s="3"/>
      <c r="BJ42" s="3"/>
    </row>
    <row r="43" spans="2:62">
      <c r="C43" s="4"/>
      <c r="D43" s="4"/>
      <c r="E43" s="4"/>
      <c r="F43" s="4"/>
      <c r="G43" s="4"/>
      <c r="H43" s="4"/>
      <c r="I43" s="4"/>
      <c r="J43" s="4"/>
      <c r="K43" s="4"/>
      <c r="L43" s="4"/>
      <c r="M43" s="4"/>
      <c r="N43" s="4"/>
      <c r="O43" s="4"/>
      <c r="P43" s="4"/>
      <c r="Q43" s="4"/>
      <c r="R43" s="4"/>
      <c r="S43" s="4"/>
      <c r="T43" s="4"/>
      <c r="U43" s="4"/>
      <c r="V43" s="4"/>
      <c r="W43" s="4"/>
      <c r="Z43" s="7"/>
      <c r="AA43" s="7"/>
      <c r="AB43" s="7"/>
      <c r="AC43" s="7"/>
      <c r="AD43" s="1"/>
      <c r="AE43" s="1"/>
      <c r="AF43" s="2"/>
      <c r="AG43" s="1"/>
      <c r="AH43" s="1"/>
      <c r="AI43" s="2"/>
      <c r="AJ43" s="2"/>
      <c r="AK43" s="2"/>
      <c r="AL43" s="3"/>
      <c r="AM43" s="3"/>
      <c r="AP43" s="4"/>
      <c r="AQ43" s="4"/>
      <c r="AR43" s="4"/>
      <c r="AS43" s="4"/>
      <c r="AT43" s="4"/>
      <c r="BF43" s="3"/>
      <c r="BG43" s="3"/>
      <c r="BH43" s="3"/>
      <c r="BI43" s="3"/>
      <c r="BJ43" s="3"/>
    </row>
    <row r="44" spans="2:62">
      <c r="C44" s="4"/>
      <c r="D44" s="4"/>
      <c r="E44" s="4"/>
      <c r="F44" s="4"/>
      <c r="G44" s="4"/>
      <c r="H44" s="4"/>
      <c r="I44" s="4"/>
      <c r="J44" s="4"/>
      <c r="K44" s="4"/>
      <c r="L44" s="4"/>
      <c r="M44" s="4"/>
      <c r="N44" s="4"/>
      <c r="O44" s="4"/>
      <c r="P44" s="4"/>
      <c r="Q44" s="4"/>
      <c r="R44" s="4"/>
      <c r="S44" s="4"/>
      <c r="T44" s="4"/>
      <c r="U44" s="4"/>
      <c r="V44" s="4"/>
      <c r="W44" s="4"/>
      <c r="Z44" s="7"/>
      <c r="AA44" s="7"/>
      <c r="AB44" s="7"/>
      <c r="AC44" s="7"/>
      <c r="AD44" s="1"/>
      <c r="AE44" s="1"/>
      <c r="AF44" s="2"/>
      <c r="AG44" s="1"/>
      <c r="AH44" s="1"/>
      <c r="AI44" s="2"/>
      <c r="AJ44" s="2"/>
      <c r="AK44" s="2"/>
      <c r="AL44" s="3"/>
      <c r="AM44" s="3"/>
      <c r="AP44" s="4"/>
      <c r="AQ44" s="4"/>
      <c r="AR44" s="4"/>
      <c r="AS44" s="4"/>
      <c r="AT44" s="4"/>
      <c r="BF44" s="3"/>
      <c r="BG44" s="3"/>
      <c r="BH44" s="3"/>
      <c r="BI44" s="3"/>
      <c r="BJ44" s="3"/>
    </row>
    <row r="45" spans="2:62">
      <c r="C45" s="4"/>
      <c r="D45" s="4"/>
      <c r="E45" s="4"/>
      <c r="F45" s="4"/>
      <c r="G45" s="4"/>
      <c r="H45" s="4"/>
      <c r="I45" s="4"/>
      <c r="J45" s="4"/>
      <c r="K45" s="4"/>
      <c r="L45" s="4"/>
      <c r="M45" s="4"/>
      <c r="N45" s="4"/>
      <c r="O45" s="4"/>
      <c r="P45" s="4"/>
      <c r="Q45" s="4"/>
      <c r="R45" s="4"/>
      <c r="S45" s="4"/>
      <c r="T45" s="4"/>
      <c r="U45" s="4"/>
      <c r="V45" s="4"/>
      <c r="W45" s="4"/>
      <c r="Z45" s="7"/>
      <c r="AA45" s="7"/>
      <c r="AB45" s="7"/>
      <c r="AC45" s="7"/>
      <c r="AD45" s="1"/>
      <c r="AE45" s="1"/>
      <c r="AF45" s="2"/>
      <c r="AG45" s="1"/>
      <c r="AH45" s="1"/>
      <c r="AI45" s="2"/>
      <c r="AJ45" s="2"/>
      <c r="AK45" s="2"/>
      <c r="AL45" s="3"/>
      <c r="AM45" s="3"/>
      <c r="AP45" s="4"/>
      <c r="AQ45" s="4"/>
      <c r="AR45" s="4"/>
      <c r="AS45" s="4"/>
      <c r="AT45" s="4"/>
      <c r="BF45" s="3"/>
      <c r="BG45" s="3"/>
      <c r="BH45" s="3"/>
      <c r="BI45" s="3"/>
      <c r="BJ45" s="3"/>
    </row>
    <row r="46" spans="2:62">
      <c r="C46" s="4"/>
      <c r="D46" s="4"/>
      <c r="E46" s="4"/>
      <c r="F46" s="4"/>
      <c r="G46" s="4"/>
      <c r="H46" s="4"/>
      <c r="I46" s="4"/>
      <c r="J46" s="4"/>
      <c r="K46" s="4"/>
      <c r="L46" s="4"/>
      <c r="M46" s="4"/>
      <c r="N46" s="4"/>
      <c r="O46" s="4"/>
      <c r="P46" s="4"/>
      <c r="Q46" s="4"/>
      <c r="R46" s="4"/>
      <c r="S46" s="4"/>
      <c r="T46" s="4"/>
      <c r="U46" s="4"/>
      <c r="V46" s="4"/>
      <c r="W46" s="4"/>
      <c r="Z46" s="7"/>
      <c r="AA46" s="7"/>
      <c r="AB46" s="7"/>
      <c r="AC46" s="7"/>
      <c r="AD46" s="1"/>
      <c r="AE46" s="1"/>
      <c r="AF46" s="2"/>
      <c r="AG46" s="1"/>
      <c r="AH46" s="1"/>
      <c r="AI46" s="2"/>
      <c r="AJ46" s="2"/>
      <c r="AK46" s="2"/>
      <c r="AL46" s="3"/>
      <c r="AM46" s="3"/>
      <c r="AP46" s="4"/>
      <c r="AQ46" s="4"/>
      <c r="AR46" s="4"/>
      <c r="AS46" s="4"/>
      <c r="AT46" s="4"/>
      <c r="BF46" s="3"/>
      <c r="BG46" s="3"/>
      <c r="BH46" s="3"/>
      <c r="BI46" s="3"/>
      <c r="BJ46" s="3"/>
    </row>
    <row r="47" spans="2:62">
      <c r="C47" s="4"/>
      <c r="D47" s="4"/>
      <c r="E47" s="4"/>
      <c r="F47" s="4"/>
      <c r="G47" s="4"/>
      <c r="H47" s="4"/>
      <c r="I47" s="4"/>
      <c r="J47" s="4"/>
      <c r="K47" s="4"/>
      <c r="L47" s="4"/>
      <c r="M47" s="4"/>
      <c r="N47" s="4"/>
      <c r="O47" s="4"/>
      <c r="P47" s="4"/>
      <c r="Q47" s="4"/>
      <c r="R47" s="4"/>
      <c r="S47" s="4"/>
      <c r="T47" s="4"/>
      <c r="U47" s="4"/>
      <c r="V47" s="4"/>
      <c r="W47" s="4"/>
      <c r="Z47" s="7"/>
      <c r="AA47" s="7"/>
      <c r="AB47" s="7"/>
      <c r="AC47" s="7"/>
      <c r="AD47" s="1"/>
      <c r="AE47" s="1"/>
      <c r="AF47" s="2"/>
      <c r="AG47" s="1"/>
      <c r="AH47" s="1"/>
      <c r="AI47" s="2"/>
      <c r="AJ47" s="2"/>
      <c r="AK47" s="2"/>
      <c r="AL47" s="3"/>
      <c r="AM47" s="3"/>
      <c r="AP47" s="4"/>
      <c r="AQ47" s="4"/>
      <c r="AR47" s="4"/>
      <c r="AS47" s="4"/>
      <c r="AT47" s="4"/>
      <c r="BF47" s="3"/>
      <c r="BG47" s="3"/>
      <c r="BH47" s="3"/>
      <c r="BI47" s="3"/>
      <c r="BJ47" s="3"/>
    </row>
    <row r="48" spans="2:62">
      <c r="C48" s="4"/>
      <c r="D48" s="4"/>
      <c r="E48" s="4"/>
      <c r="F48" s="4"/>
      <c r="G48" s="4"/>
      <c r="H48" s="4"/>
      <c r="I48" s="4"/>
      <c r="J48" s="4"/>
      <c r="K48" s="4"/>
      <c r="L48" s="4"/>
      <c r="M48" s="4"/>
      <c r="N48" s="4"/>
      <c r="O48" s="4"/>
      <c r="P48" s="4"/>
      <c r="Q48" s="4"/>
      <c r="R48" s="4"/>
      <c r="S48" s="4"/>
      <c r="T48" s="4"/>
      <c r="U48" s="4"/>
      <c r="V48" s="4"/>
      <c r="W48" s="4"/>
      <c r="Z48" s="7"/>
      <c r="AA48" s="7"/>
      <c r="AB48" s="7"/>
      <c r="AC48" s="7"/>
      <c r="AD48" s="1"/>
      <c r="AE48" s="1"/>
      <c r="AF48" s="2"/>
      <c r="AG48" s="1"/>
      <c r="AH48" s="1"/>
      <c r="AI48" s="2"/>
      <c r="AJ48" s="2"/>
      <c r="AK48" s="2"/>
      <c r="AL48" s="3"/>
      <c r="AM48" s="3"/>
      <c r="AP48" s="4"/>
      <c r="AQ48" s="4"/>
      <c r="AR48" s="4"/>
      <c r="AS48" s="4"/>
      <c r="AT48" s="4"/>
      <c r="BF48" s="3"/>
      <c r="BG48" s="3"/>
      <c r="BH48" s="3"/>
      <c r="BI48" s="3"/>
      <c r="BJ48" s="3"/>
    </row>
    <row r="49" spans="3:62">
      <c r="C49" s="4"/>
      <c r="D49" s="4"/>
      <c r="E49" s="4"/>
      <c r="F49" s="4"/>
      <c r="G49" s="4"/>
      <c r="H49" s="4"/>
      <c r="I49" s="4"/>
      <c r="J49" s="4"/>
      <c r="K49" s="4"/>
      <c r="L49" s="4"/>
      <c r="M49" s="4"/>
      <c r="N49" s="4"/>
      <c r="O49" s="4"/>
      <c r="P49" s="4"/>
      <c r="Q49" s="4"/>
      <c r="R49" s="4"/>
      <c r="S49" s="4"/>
      <c r="T49" s="4"/>
      <c r="U49" s="4"/>
      <c r="V49" s="4"/>
      <c r="W49" s="4"/>
      <c r="Z49" s="7"/>
      <c r="AA49" s="7"/>
      <c r="AB49" s="7"/>
      <c r="AC49" s="7"/>
      <c r="AD49" s="1"/>
      <c r="AE49" s="1"/>
      <c r="AF49" s="2"/>
      <c r="AG49" s="1"/>
      <c r="AH49" s="1"/>
      <c r="AI49" s="2"/>
      <c r="AJ49" s="2"/>
      <c r="AK49" s="2"/>
      <c r="AL49" s="3"/>
      <c r="AM49" s="3"/>
      <c r="AP49" s="4"/>
      <c r="AQ49" s="4"/>
      <c r="AR49" s="4"/>
      <c r="AS49" s="4"/>
      <c r="AT49" s="4"/>
      <c r="BF49" s="3"/>
      <c r="BG49" s="3"/>
      <c r="BH49" s="3"/>
      <c r="BI49" s="3"/>
      <c r="BJ49" s="3"/>
    </row>
    <row r="50" spans="3:62">
      <c r="C50" s="4"/>
      <c r="D50" s="4"/>
      <c r="E50" s="4"/>
      <c r="F50" s="4"/>
      <c r="G50" s="4"/>
      <c r="H50" s="4"/>
      <c r="I50" s="4"/>
      <c r="J50" s="4"/>
      <c r="K50" s="4"/>
      <c r="L50" s="4"/>
      <c r="M50" s="4"/>
      <c r="N50" s="4"/>
      <c r="O50" s="4"/>
      <c r="P50" s="4"/>
      <c r="Q50" s="4"/>
      <c r="R50" s="4"/>
      <c r="S50" s="4"/>
      <c r="T50" s="4"/>
      <c r="U50" s="4"/>
      <c r="V50" s="4"/>
      <c r="W50" s="4"/>
      <c r="Z50" s="7"/>
      <c r="AA50" s="7"/>
      <c r="AB50" s="7"/>
      <c r="AC50" s="7"/>
      <c r="AD50" s="1"/>
      <c r="AE50" s="1"/>
      <c r="AF50" s="2"/>
      <c r="AG50" s="1"/>
      <c r="AH50" s="1"/>
      <c r="AI50" s="2"/>
      <c r="AJ50" s="2"/>
      <c r="AK50" s="2"/>
      <c r="AL50" s="3"/>
      <c r="AM50" s="3"/>
      <c r="AP50" s="4"/>
      <c r="AQ50" s="4"/>
      <c r="AR50" s="4"/>
      <c r="AS50" s="4"/>
      <c r="AT50" s="4"/>
      <c r="BF50" s="3"/>
      <c r="BG50" s="3"/>
      <c r="BH50" s="3"/>
      <c r="BI50" s="3"/>
      <c r="BJ50" s="3"/>
    </row>
    <row r="51" spans="3:62">
      <c r="C51" s="4"/>
      <c r="D51" s="4"/>
      <c r="E51" s="4"/>
      <c r="F51" s="4"/>
      <c r="G51" s="4"/>
      <c r="H51" s="4"/>
      <c r="I51" s="4"/>
      <c r="J51" s="4"/>
      <c r="K51" s="4"/>
      <c r="L51" s="4"/>
      <c r="M51" s="4"/>
      <c r="N51" s="4"/>
      <c r="O51" s="4"/>
      <c r="P51" s="4"/>
      <c r="Q51" s="4"/>
      <c r="R51" s="4"/>
      <c r="S51" s="4"/>
      <c r="T51" s="4"/>
      <c r="U51" s="4"/>
      <c r="V51" s="4"/>
      <c r="W51" s="4"/>
    </row>
    <row r="52" spans="3:62">
      <c r="C52" s="4"/>
      <c r="D52" s="4"/>
      <c r="E52" s="4"/>
      <c r="F52" s="4"/>
      <c r="G52" s="4"/>
      <c r="H52" s="4"/>
      <c r="I52" s="4"/>
      <c r="J52" s="4"/>
      <c r="K52" s="4"/>
      <c r="L52" s="4"/>
      <c r="M52" s="4"/>
      <c r="N52" s="4"/>
      <c r="O52" s="4"/>
      <c r="P52" s="4"/>
      <c r="Q52" s="4"/>
      <c r="R52" s="4"/>
      <c r="S52" s="4"/>
      <c r="T52" s="4"/>
      <c r="U52" s="4"/>
      <c r="V52" s="4"/>
      <c r="W52" s="4"/>
    </row>
    <row r="53" spans="3:62">
      <c r="C53" s="4"/>
      <c r="D53" s="4"/>
      <c r="E53" s="4"/>
      <c r="F53" s="4"/>
      <c r="G53" s="4"/>
      <c r="H53" s="4"/>
      <c r="I53" s="4"/>
      <c r="J53" s="4"/>
      <c r="K53" s="4"/>
      <c r="L53" s="4"/>
      <c r="M53" s="4"/>
      <c r="N53" s="4"/>
      <c r="O53" s="4"/>
      <c r="P53" s="4"/>
      <c r="Q53" s="4"/>
      <c r="R53" s="4"/>
      <c r="S53" s="4"/>
      <c r="T53" s="4"/>
      <c r="U53" s="4"/>
      <c r="V53" s="4"/>
      <c r="W53" s="4"/>
    </row>
    <row r="54" spans="3:62">
      <c r="C54" s="4"/>
      <c r="D54" s="4"/>
      <c r="E54" s="4"/>
      <c r="F54" s="4"/>
      <c r="G54" s="4"/>
      <c r="H54" s="4"/>
      <c r="I54" s="4"/>
      <c r="J54" s="4"/>
      <c r="K54" s="4"/>
      <c r="L54" s="4"/>
      <c r="M54" s="4"/>
      <c r="N54" s="4"/>
      <c r="O54" s="4"/>
      <c r="P54" s="4"/>
    </row>
    <row r="55" spans="3:62">
      <c r="C55" s="4"/>
      <c r="D55" s="4"/>
      <c r="E55" s="4"/>
      <c r="F55" s="4"/>
      <c r="G55" s="4"/>
      <c r="H55" s="4"/>
      <c r="I55" s="4"/>
      <c r="J55" s="4"/>
      <c r="K55" s="4"/>
      <c r="L55" s="4"/>
      <c r="M55" s="4"/>
      <c r="N55" s="4"/>
      <c r="O55" s="4"/>
      <c r="P55" s="4"/>
    </row>
    <row r="56" spans="3:62">
      <c r="C56" s="4"/>
      <c r="D56" s="4"/>
      <c r="E56" s="4"/>
      <c r="F56" s="4"/>
      <c r="G56" s="4"/>
      <c r="H56" s="4"/>
      <c r="I56" s="4"/>
      <c r="J56" s="4"/>
      <c r="K56" s="4"/>
      <c r="L56" s="4"/>
      <c r="M56" s="4"/>
      <c r="N56" s="4"/>
      <c r="O56" s="4"/>
      <c r="P56" s="4"/>
      <c r="X56" s="3"/>
      <c r="Y56" s="3"/>
      <c r="Z56" s="3"/>
    </row>
    <row r="57" spans="3:62">
      <c r="C57" s="4"/>
      <c r="D57" s="4"/>
      <c r="E57" s="4"/>
      <c r="F57" s="4"/>
      <c r="G57" s="4"/>
      <c r="H57" s="4"/>
      <c r="I57" s="4"/>
      <c r="J57" s="4"/>
      <c r="K57" s="4"/>
      <c r="L57" s="4"/>
      <c r="M57" s="4"/>
      <c r="N57" s="4"/>
      <c r="O57" s="4"/>
      <c r="P57" s="4"/>
      <c r="Q57" s="4"/>
      <c r="R57" s="4"/>
      <c r="S57" s="4"/>
      <c r="T57" s="4"/>
      <c r="X57" s="3"/>
      <c r="Y57" s="3"/>
      <c r="Z57" s="3"/>
    </row>
    <row r="58" spans="3:62">
      <c r="C58" s="4"/>
      <c r="D58" s="4"/>
      <c r="E58" s="4"/>
      <c r="F58" s="4"/>
      <c r="G58" s="4"/>
      <c r="H58" s="4"/>
      <c r="I58" s="4"/>
      <c r="J58" s="4"/>
      <c r="K58" s="4"/>
      <c r="L58" s="4"/>
      <c r="M58" s="4"/>
      <c r="N58" s="4"/>
      <c r="O58" s="4"/>
      <c r="P58" s="4"/>
      <c r="Q58" s="4"/>
      <c r="R58" s="4"/>
      <c r="S58" s="4"/>
      <c r="T58" s="4"/>
      <c r="X58" s="3"/>
      <c r="Y58" s="3"/>
      <c r="Z58" s="3"/>
    </row>
    <row r="59" spans="3:62">
      <c r="C59" s="4"/>
      <c r="D59" s="4"/>
      <c r="E59" s="4"/>
      <c r="F59" s="4"/>
      <c r="G59" s="4"/>
      <c r="H59" s="4"/>
      <c r="I59" s="4"/>
      <c r="J59" s="4"/>
      <c r="K59" s="4"/>
      <c r="L59" s="4"/>
      <c r="M59" s="4"/>
      <c r="N59" s="4"/>
      <c r="O59" s="4"/>
      <c r="P59" s="4"/>
      <c r="Q59" s="4"/>
      <c r="R59" s="4"/>
      <c r="S59" s="4"/>
      <c r="T59" s="4"/>
      <c r="X59" s="3"/>
      <c r="Y59" s="3"/>
      <c r="Z59" s="3"/>
    </row>
    <row r="60" spans="3:62">
      <c r="C60" s="4"/>
      <c r="D60" s="4"/>
      <c r="E60" s="4"/>
      <c r="F60" s="4"/>
      <c r="G60" s="4"/>
      <c r="H60" s="4"/>
      <c r="I60" s="4"/>
      <c r="J60" s="4"/>
      <c r="K60" s="4"/>
      <c r="L60" s="4"/>
      <c r="M60" s="4"/>
      <c r="N60" s="4"/>
      <c r="O60" s="4"/>
      <c r="P60" s="4"/>
      <c r="Q60" s="4"/>
      <c r="R60" s="4"/>
      <c r="S60" s="4"/>
      <c r="T60" s="4"/>
    </row>
    <row r="61" spans="3:62">
      <c r="C61" s="4"/>
      <c r="D61" s="4"/>
      <c r="E61" s="4"/>
      <c r="F61" s="4"/>
      <c r="G61" s="4"/>
      <c r="H61" s="4"/>
      <c r="I61" s="4"/>
      <c r="J61" s="4"/>
      <c r="K61" s="4"/>
      <c r="L61" s="4"/>
      <c r="M61" s="4"/>
      <c r="N61" s="4"/>
      <c r="O61" s="4"/>
      <c r="P61" s="4"/>
    </row>
    <row r="62" spans="3:62">
      <c r="C62" s="4"/>
      <c r="D62" s="4"/>
      <c r="E62" s="4"/>
      <c r="F62" s="4"/>
      <c r="G62" s="4"/>
      <c r="H62" s="4"/>
      <c r="I62" s="4"/>
      <c r="J62" s="4"/>
      <c r="K62" s="4"/>
      <c r="L62" s="4"/>
      <c r="M62" s="4"/>
      <c r="N62" s="4"/>
      <c r="O62" s="4"/>
      <c r="P62" s="4"/>
    </row>
    <row r="63" spans="3:62">
      <c r="C63" s="4"/>
      <c r="D63" s="4"/>
      <c r="E63" s="4"/>
      <c r="F63" s="4"/>
      <c r="G63" s="4"/>
      <c r="H63" s="4"/>
      <c r="I63" s="4"/>
      <c r="J63" s="4"/>
      <c r="K63" s="4"/>
      <c r="L63" s="4"/>
      <c r="M63" s="4"/>
      <c r="N63" s="4"/>
      <c r="O63" s="4"/>
      <c r="P63" s="4"/>
    </row>
    <row r="64" spans="3:62">
      <c r="C64" s="4"/>
      <c r="D64" s="4"/>
      <c r="E64" s="4"/>
      <c r="F64" s="4"/>
      <c r="G64" s="4"/>
      <c r="H64" s="4"/>
      <c r="I64" s="4"/>
      <c r="J64" s="4"/>
      <c r="K64" s="4"/>
      <c r="L64" s="4"/>
      <c r="M64" s="4"/>
      <c r="N64" s="4"/>
      <c r="O64" s="4"/>
      <c r="P64" s="4"/>
    </row>
    <row r="65" spans="3:20">
      <c r="C65" s="4"/>
      <c r="D65" s="4"/>
      <c r="E65" s="4"/>
      <c r="F65" s="4"/>
      <c r="G65" s="4"/>
      <c r="H65" s="4"/>
      <c r="I65" s="4"/>
      <c r="J65" s="4"/>
      <c r="K65" s="4"/>
      <c r="L65" s="4"/>
      <c r="M65" s="4"/>
      <c r="N65" s="4"/>
      <c r="O65" s="4"/>
      <c r="P65" s="4"/>
    </row>
    <row r="66" spans="3:20">
      <c r="C66" s="4"/>
      <c r="D66" s="4"/>
      <c r="E66" s="4"/>
      <c r="F66" s="4"/>
      <c r="G66" s="4"/>
      <c r="H66" s="4"/>
      <c r="I66" s="4"/>
      <c r="J66" s="4"/>
      <c r="K66" s="4"/>
      <c r="L66" s="4"/>
      <c r="M66" s="4"/>
      <c r="N66" s="4"/>
      <c r="O66" s="4"/>
      <c r="P66" s="4"/>
    </row>
    <row r="67" spans="3:20">
      <c r="C67" s="4"/>
      <c r="D67" s="4"/>
      <c r="E67" s="4"/>
      <c r="F67" s="4"/>
      <c r="G67" s="4"/>
      <c r="H67" s="4"/>
      <c r="I67" s="4"/>
      <c r="J67" s="4"/>
      <c r="K67" s="4"/>
      <c r="L67" s="4"/>
      <c r="M67" s="4"/>
    </row>
    <row r="68" spans="3:20">
      <c r="C68" s="4"/>
      <c r="D68" s="4"/>
      <c r="E68" s="4"/>
      <c r="F68" s="4"/>
      <c r="G68" s="4"/>
      <c r="H68" s="4"/>
      <c r="I68" s="4"/>
      <c r="J68" s="4"/>
      <c r="K68" s="4"/>
      <c r="L68" s="4"/>
      <c r="M68" s="4"/>
    </row>
    <row r="69" spans="3:20">
      <c r="C69" s="4"/>
      <c r="D69" s="4"/>
      <c r="E69" s="4"/>
      <c r="F69" s="4"/>
      <c r="G69" s="4"/>
      <c r="H69" s="4"/>
      <c r="I69" s="4"/>
      <c r="J69" s="4"/>
      <c r="K69" s="4"/>
      <c r="L69" s="4"/>
      <c r="M69" s="4"/>
    </row>
    <row r="70" spans="3:20">
      <c r="C70" s="4"/>
      <c r="D70" s="4"/>
      <c r="E70" s="4"/>
      <c r="F70" s="4"/>
      <c r="G70" s="4"/>
      <c r="H70" s="4"/>
      <c r="I70" s="4"/>
      <c r="J70" s="4"/>
      <c r="K70" s="4"/>
      <c r="L70" s="4"/>
      <c r="M70" s="4"/>
    </row>
    <row r="71" spans="3:20">
      <c r="C71" s="4"/>
      <c r="D71" s="4"/>
      <c r="E71" s="4"/>
      <c r="F71" s="4"/>
      <c r="G71" s="4"/>
      <c r="H71" s="4"/>
      <c r="I71" s="4"/>
      <c r="J71" s="4"/>
      <c r="K71" s="4"/>
      <c r="L71" s="4"/>
      <c r="M71" s="4"/>
    </row>
    <row r="72" spans="3:20">
      <c r="C72" s="4"/>
      <c r="D72" s="4"/>
      <c r="E72" s="4"/>
      <c r="F72" s="4"/>
      <c r="G72" s="4"/>
      <c r="H72" s="4"/>
      <c r="I72" s="4"/>
      <c r="J72" s="4"/>
      <c r="K72" s="4"/>
      <c r="L72" s="4"/>
      <c r="M72" s="4"/>
    </row>
    <row r="73" spans="3:20" ht="12.75">
      <c r="C73" s="11"/>
      <c r="D73" s="11"/>
      <c r="E73" s="12"/>
      <c r="F73" s="12"/>
      <c r="G73" s="12"/>
      <c r="H73" s="12"/>
      <c r="I73" s="13"/>
      <c r="J73" s="7"/>
      <c r="K73" s="7"/>
      <c r="L73" s="7"/>
      <c r="M73" s="7"/>
    </row>
    <row r="74" spans="3:20" ht="12.75">
      <c r="C74" s="14"/>
      <c r="D74" s="14"/>
      <c r="E74" s="12"/>
      <c r="F74" s="12"/>
      <c r="G74" s="12"/>
      <c r="H74" s="12"/>
      <c r="I74" s="12"/>
      <c r="J74" s="7"/>
      <c r="K74" s="7"/>
      <c r="L74" s="7"/>
      <c r="M74" s="7"/>
      <c r="T74" s="3"/>
    </row>
    <row r="82" spans="10:46">
      <c r="J82" s="4"/>
    </row>
    <row r="89" spans="10:46">
      <c r="J89" s="4"/>
      <c r="K89" s="4"/>
      <c r="L89" s="4"/>
      <c r="M89" s="4"/>
      <c r="N89" s="4"/>
      <c r="O89" s="4"/>
      <c r="P89" s="4"/>
      <c r="Q89" s="4"/>
      <c r="R89" s="4"/>
      <c r="S89" s="4"/>
      <c r="T89" s="4"/>
      <c r="U89" s="4"/>
      <c r="V89" s="4"/>
      <c r="W89" s="4"/>
      <c r="AP89" s="4"/>
      <c r="AQ89" s="4"/>
      <c r="AR89" s="4"/>
      <c r="AS89" s="4"/>
      <c r="AT89" s="4"/>
    </row>
    <row r="90" spans="10:46">
      <c r="J90" s="4"/>
      <c r="K90" s="4"/>
      <c r="L90" s="4"/>
      <c r="M90" s="4"/>
      <c r="N90" s="4"/>
      <c r="O90" s="4"/>
      <c r="P90" s="4"/>
      <c r="Q90" s="4"/>
      <c r="R90" s="4"/>
      <c r="S90" s="4"/>
      <c r="T90" s="4"/>
      <c r="U90" s="4"/>
      <c r="V90" s="4"/>
      <c r="W90" s="4"/>
      <c r="AP90" s="4"/>
      <c r="AQ90" s="4"/>
      <c r="AR90" s="4"/>
      <c r="AS90" s="4"/>
      <c r="AT90" s="4"/>
    </row>
    <row r="91" spans="10:46">
      <c r="J91" s="4"/>
      <c r="K91" s="4"/>
      <c r="L91" s="4"/>
      <c r="M91" s="4"/>
      <c r="N91" s="4"/>
      <c r="O91" s="4"/>
      <c r="P91" s="4"/>
      <c r="Q91" s="4"/>
      <c r="R91" s="4"/>
      <c r="S91" s="4"/>
      <c r="T91" s="4"/>
      <c r="U91" s="4"/>
      <c r="V91" s="4"/>
      <c r="W91" s="4"/>
      <c r="AP91" s="4"/>
      <c r="AQ91" s="4"/>
      <c r="AR91" s="4"/>
      <c r="AS91" s="4"/>
      <c r="AT91" s="4"/>
    </row>
    <row r="92" spans="10:46">
      <c r="J92" s="4"/>
      <c r="K92" s="4"/>
      <c r="L92" s="4"/>
      <c r="M92" s="4"/>
      <c r="N92" s="4"/>
      <c r="O92" s="4"/>
      <c r="P92" s="4"/>
      <c r="Q92" s="4"/>
      <c r="R92" s="4"/>
      <c r="S92" s="4"/>
      <c r="T92" s="4"/>
      <c r="U92" s="4"/>
      <c r="V92" s="4"/>
      <c r="W92" s="4"/>
      <c r="AP92" s="4"/>
      <c r="AQ92" s="4"/>
      <c r="AR92" s="4"/>
      <c r="AS92" s="4"/>
      <c r="AT92" s="4"/>
    </row>
    <row r="93" spans="10:46">
      <c r="J93" s="4"/>
      <c r="K93" s="4"/>
      <c r="L93" s="4"/>
      <c r="M93" s="4"/>
      <c r="N93" s="4"/>
      <c r="O93" s="4"/>
      <c r="P93" s="4"/>
      <c r="Q93" s="4"/>
      <c r="R93" s="4"/>
      <c r="S93" s="4"/>
      <c r="T93" s="4"/>
      <c r="U93" s="4"/>
      <c r="V93" s="4"/>
      <c r="W93" s="4"/>
      <c r="AP93" s="4"/>
      <c r="AQ93" s="4"/>
      <c r="AR93" s="4"/>
      <c r="AS93" s="4"/>
      <c r="AT93" s="4"/>
    </row>
    <row r="94" spans="10:46">
      <c r="J94" s="4"/>
      <c r="K94" s="4"/>
      <c r="L94" s="4"/>
      <c r="M94" s="4"/>
      <c r="N94" s="4"/>
      <c r="O94" s="4"/>
      <c r="P94" s="4"/>
      <c r="Q94" s="4"/>
      <c r="R94" s="4"/>
      <c r="S94" s="4"/>
      <c r="T94" s="4"/>
      <c r="U94" s="4"/>
      <c r="V94" s="4"/>
      <c r="W94" s="4"/>
      <c r="AP94" s="4"/>
      <c r="AQ94" s="4"/>
      <c r="AR94" s="4"/>
      <c r="AS94" s="4"/>
      <c r="AT94" s="4"/>
    </row>
    <row r="95" spans="10:46">
      <c r="J95" s="4"/>
      <c r="K95" s="4"/>
      <c r="L95" s="4"/>
      <c r="M95" s="4"/>
      <c r="N95" s="4"/>
      <c r="O95" s="4"/>
      <c r="P95" s="4"/>
      <c r="Q95" s="4"/>
      <c r="R95" s="4"/>
      <c r="S95" s="4"/>
      <c r="T95" s="4"/>
      <c r="U95" s="4"/>
      <c r="V95" s="4"/>
      <c r="W95" s="4"/>
      <c r="AP95" s="4"/>
      <c r="AQ95" s="4"/>
      <c r="AR95" s="4"/>
      <c r="AS95" s="4"/>
      <c r="AT95" s="4"/>
    </row>
    <row r="96" spans="10:46">
      <c r="J96" s="4"/>
      <c r="K96" s="4"/>
      <c r="L96" s="4"/>
      <c r="M96" s="4"/>
      <c r="N96" s="4"/>
      <c r="O96" s="4"/>
      <c r="P96" s="4"/>
      <c r="Q96" s="4"/>
      <c r="R96" s="4"/>
      <c r="S96" s="4"/>
      <c r="T96" s="4"/>
      <c r="U96" s="4"/>
      <c r="V96" s="4"/>
      <c r="W96" s="4"/>
      <c r="AP96" s="4"/>
      <c r="AQ96" s="4"/>
      <c r="AR96" s="4"/>
      <c r="AS96" s="4"/>
      <c r="AT96" s="4"/>
    </row>
    <row r="97" spans="3:46">
      <c r="J97" s="4"/>
      <c r="K97" s="4"/>
      <c r="L97" s="4"/>
      <c r="M97" s="4"/>
      <c r="N97" s="4"/>
      <c r="O97" s="4"/>
      <c r="P97" s="4"/>
      <c r="Q97" s="4"/>
      <c r="R97" s="4"/>
      <c r="S97" s="4"/>
      <c r="T97" s="4"/>
      <c r="U97" s="4"/>
      <c r="V97" s="4"/>
      <c r="W97" s="4"/>
      <c r="AP97" s="4"/>
      <c r="AQ97" s="4"/>
      <c r="AR97" s="4"/>
      <c r="AS97" s="4"/>
      <c r="AT97" s="4"/>
    </row>
    <row r="98" spans="3:46">
      <c r="J98" s="4"/>
      <c r="K98" s="4"/>
      <c r="L98" s="4"/>
      <c r="M98" s="4"/>
      <c r="N98" s="4"/>
      <c r="O98" s="4"/>
      <c r="P98" s="4"/>
      <c r="Q98" s="4"/>
      <c r="R98" s="4"/>
      <c r="S98" s="4"/>
      <c r="T98" s="4"/>
      <c r="U98" s="4"/>
      <c r="V98" s="4"/>
      <c r="W98" s="4"/>
      <c r="AP98" s="4"/>
      <c r="AQ98" s="4"/>
      <c r="AR98" s="4"/>
      <c r="AS98" s="4"/>
      <c r="AT98" s="4"/>
    </row>
    <row r="99" spans="3:46">
      <c r="J99" s="4"/>
      <c r="K99" s="4"/>
      <c r="L99" s="4"/>
      <c r="M99" s="4"/>
      <c r="N99" s="4"/>
      <c r="O99" s="4"/>
      <c r="P99" s="4"/>
      <c r="Q99" s="4"/>
      <c r="R99" s="4"/>
      <c r="S99" s="4"/>
      <c r="T99" s="4"/>
      <c r="U99" s="4"/>
      <c r="V99" s="4"/>
      <c r="W99" s="4"/>
      <c r="AP99" s="4"/>
      <c r="AQ99" s="4"/>
      <c r="AR99" s="4"/>
      <c r="AS99" s="4"/>
      <c r="AT99" s="4"/>
    </row>
    <row r="100" spans="3:46">
      <c r="J100" s="4"/>
      <c r="K100" s="4"/>
      <c r="L100" s="4"/>
      <c r="M100" s="4"/>
      <c r="N100" s="4"/>
      <c r="O100" s="4"/>
      <c r="P100" s="4"/>
      <c r="Q100" s="4"/>
      <c r="R100" s="4"/>
      <c r="S100" s="4"/>
      <c r="T100" s="4"/>
      <c r="U100" s="4"/>
      <c r="V100" s="4"/>
      <c r="W100" s="4"/>
      <c r="AP100" s="4"/>
      <c r="AQ100" s="4"/>
      <c r="AR100" s="4"/>
      <c r="AS100" s="4"/>
      <c r="AT100" s="4"/>
    </row>
    <row r="101" spans="3:46">
      <c r="J101" s="4"/>
      <c r="K101" s="4"/>
      <c r="L101" s="4"/>
      <c r="M101" s="4"/>
      <c r="N101" s="4"/>
      <c r="O101" s="4"/>
      <c r="P101" s="4"/>
      <c r="Q101" s="4"/>
      <c r="R101" s="4"/>
      <c r="S101" s="4"/>
      <c r="T101" s="4"/>
      <c r="U101" s="4"/>
      <c r="V101" s="4"/>
      <c r="W101" s="4"/>
      <c r="AP101" s="4"/>
      <c r="AQ101" s="4"/>
      <c r="AR101" s="4"/>
      <c r="AS101" s="4"/>
      <c r="AT101" s="4"/>
    </row>
    <row r="102" spans="3:46">
      <c r="J102" s="4"/>
      <c r="K102" s="4"/>
      <c r="L102" s="4"/>
      <c r="M102" s="4"/>
      <c r="N102" s="4"/>
      <c r="O102" s="4"/>
      <c r="P102" s="4"/>
      <c r="Q102" s="4"/>
      <c r="R102" s="4"/>
      <c r="S102" s="4"/>
      <c r="T102" s="4"/>
      <c r="U102" s="4"/>
      <c r="V102" s="4"/>
      <c r="W102" s="4"/>
      <c r="AP102" s="4"/>
      <c r="AQ102" s="4"/>
      <c r="AR102" s="4"/>
      <c r="AS102" s="4"/>
      <c r="AT102" s="4"/>
    </row>
    <row r="103" spans="3:46">
      <c r="J103" s="4"/>
      <c r="K103" s="4"/>
      <c r="L103" s="4"/>
      <c r="M103" s="4"/>
      <c r="N103" s="4"/>
      <c r="O103" s="4"/>
      <c r="P103" s="4"/>
      <c r="Q103" s="4"/>
      <c r="R103" s="4"/>
      <c r="S103" s="4"/>
      <c r="T103" s="4"/>
      <c r="U103" s="4"/>
      <c r="V103" s="4"/>
      <c r="W103" s="4"/>
      <c r="AP103" s="4"/>
      <c r="AQ103" s="4"/>
      <c r="AR103" s="4"/>
      <c r="AS103" s="4"/>
      <c r="AT103" s="4"/>
    </row>
    <row r="104" spans="3:46">
      <c r="J104" s="4"/>
      <c r="K104" s="4"/>
      <c r="L104" s="4"/>
      <c r="M104" s="4"/>
      <c r="N104" s="4"/>
      <c r="O104" s="4"/>
      <c r="P104" s="4"/>
      <c r="Q104" s="4"/>
      <c r="R104" s="4"/>
      <c r="S104" s="4"/>
      <c r="T104" s="4"/>
      <c r="U104" s="4"/>
      <c r="V104" s="4"/>
      <c r="W104" s="4"/>
      <c r="AP104" s="4"/>
      <c r="AQ104" s="4"/>
      <c r="AR104" s="4"/>
      <c r="AS104" s="4"/>
      <c r="AT104" s="4"/>
    </row>
    <row r="105" spans="3:46">
      <c r="J105" s="4"/>
      <c r="K105" s="4"/>
      <c r="L105" s="4"/>
      <c r="M105" s="4"/>
      <c r="N105" s="4"/>
      <c r="O105" s="4"/>
      <c r="P105" s="4"/>
      <c r="Q105" s="4"/>
      <c r="R105" s="4"/>
      <c r="S105" s="4"/>
      <c r="T105" s="4"/>
      <c r="U105" s="4"/>
      <c r="V105" s="4"/>
      <c r="W105" s="4"/>
      <c r="AP105" s="4"/>
      <c r="AQ105" s="4"/>
      <c r="AR105" s="4"/>
      <c r="AS105" s="4"/>
      <c r="AT105" s="4"/>
    </row>
    <row r="106" spans="3:46">
      <c r="J106" s="4"/>
      <c r="K106" s="4"/>
      <c r="L106" s="4"/>
      <c r="M106" s="4"/>
      <c r="N106" s="4"/>
      <c r="O106" s="4"/>
      <c r="P106" s="4"/>
      <c r="Q106" s="4"/>
      <c r="R106" s="4"/>
      <c r="S106" s="4"/>
      <c r="T106" s="4"/>
      <c r="U106" s="4"/>
      <c r="V106" s="4"/>
      <c r="W106" s="4"/>
      <c r="AP106" s="4"/>
      <c r="AQ106" s="4"/>
      <c r="AR106" s="4"/>
      <c r="AS106" s="4"/>
      <c r="AT106" s="4"/>
    </row>
    <row r="107" spans="3:46">
      <c r="J107" s="4"/>
      <c r="K107" s="4"/>
      <c r="L107" s="4"/>
      <c r="M107" s="4"/>
      <c r="N107" s="4"/>
      <c r="O107" s="4"/>
      <c r="P107" s="4"/>
      <c r="Q107" s="4"/>
      <c r="R107" s="4"/>
      <c r="S107" s="4"/>
      <c r="T107" s="4"/>
      <c r="U107" s="4"/>
      <c r="V107" s="4"/>
      <c r="W107" s="4"/>
      <c r="AP107" s="4"/>
      <c r="AQ107" s="4"/>
      <c r="AR107" s="4"/>
      <c r="AS107" s="4"/>
      <c r="AT107" s="4"/>
    </row>
    <row r="108" spans="3:46">
      <c r="J108" s="4"/>
      <c r="K108" s="4"/>
      <c r="L108" s="4"/>
      <c r="M108" s="4"/>
      <c r="N108" s="4"/>
      <c r="O108" s="4"/>
      <c r="P108" s="4"/>
      <c r="Q108" s="4"/>
      <c r="R108" s="4"/>
      <c r="S108" s="4"/>
      <c r="T108" s="4"/>
      <c r="U108" s="4"/>
      <c r="V108" s="4"/>
      <c r="W108" s="4"/>
      <c r="AP108" s="4"/>
      <c r="AQ108" s="4"/>
      <c r="AR108" s="4"/>
      <c r="AS108" s="4"/>
      <c r="AT108" s="4"/>
    </row>
    <row r="109" spans="3:46">
      <c r="J109" s="4"/>
      <c r="K109" s="4"/>
      <c r="L109" s="4"/>
      <c r="M109" s="4"/>
      <c r="N109" s="4"/>
      <c r="O109" s="4"/>
      <c r="P109" s="4"/>
      <c r="Q109" s="4"/>
      <c r="R109" s="4"/>
      <c r="S109" s="4"/>
      <c r="T109" s="4"/>
      <c r="U109" s="4"/>
      <c r="V109" s="4"/>
      <c r="W109" s="4"/>
      <c r="AP109" s="4"/>
      <c r="AQ109" s="4"/>
      <c r="AR109" s="4"/>
      <c r="AS109" s="4"/>
      <c r="AT109" s="4"/>
    </row>
    <row r="110" spans="3:46">
      <c r="C110" s="4"/>
      <c r="D110" s="4"/>
      <c r="E110" s="4"/>
      <c r="F110" s="4"/>
      <c r="G110" s="4"/>
      <c r="H110" s="4"/>
      <c r="I110" s="4"/>
      <c r="J110" s="4"/>
      <c r="K110" s="4"/>
      <c r="L110" s="4"/>
      <c r="M110" s="4"/>
      <c r="N110" s="4"/>
      <c r="O110" s="4"/>
      <c r="P110" s="4"/>
      <c r="Q110" s="4"/>
      <c r="R110" s="4"/>
      <c r="S110" s="4"/>
      <c r="T110" s="4"/>
      <c r="U110" s="4"/>
      <c r="V110" s="4"/>
      <c r="W110" s="4"/>
      <c r="AP110" s="4"/>
      <c r="AQ110" s="4"/>
      <c r="AR110" s="4"/>
      <c r="AS110" s="4"/>
      <c r="AT110" s="4"/>
    </row>
    <row r="111" spans="3:46">
      <c r="C111" s="4"/>
      <c r="D111" s="4"/>
      <c r="E111" s="4"/>
      <c r="F111" s="4"/>
      <c r="G111" s="4"/>
      <c r="H111" s="4"/>
      <c r="I111" s="4"/>
      <c r="J111" s="4"/>
      <c r="K111" s="4"/>
      <c r="L111" s="4"/>
      <c r="M111" s="4"/>
      <c r="N111" s="4"/>
      <c r="O111" s="4"/>
      <c r="P111" s="4"/>
      <c r="Q111" s="4"/>
      <c r="R111" s="4"/>
      <c r="S111" s="4"/>
      <c r="T111" s="4"/>
      <c r="U111" s="4"/>
      <c r="V111" s="4"/>
      <c r="W111" s="4"/>
      <c r="AP111" s="4"/>
      <c r="AQ111" s="4"/>
      <c r="AR111" s="4"/>
      <c r="AS111" s="4"/>
      <c r="AT111" s="4"/>
    </row>
    <row r="112" spans="3:46">
      <c r="C112" s="4"/>
      <c r="D112" s="4"/>
      <c r="E112" s="4"/>
      <c r="F112" s="4"/>
      <c r="G112" s="4"/>
      <c r="H112" s="4"/>
      <c r="I112" s="4"/>
      <c r="J112" s="4"/>
      <c r="K112" s="4"/>
      <c r="L112" s="4"/>
      <c r="M112" s="4"/>
      <c r="N112" s="4"/>
      <c r="O112" s="4"/>
      <c r="P112" s="4"/>
      <c r="Q112" s="4"/>
      <c r="R112" s="4"/>
      <c r="S112" s="4"/>
      <c r="T112" s="4"/>
      <c r="U112" s="4"/>
      <c r="V112" s="4"/>
      <c r="W112" s="4"/>
      <c r="AP112" s="4"/>
      <c r="AQ112" s="4"/>
      <c r="AR112" s="4"/>
      <c r="AS112" s="4"/>
      <c r="AT112" s="4"/>
    </row>
    <row r="113" spans="3:46">
      <c r="C113" s="4"/>
      <c r="D113" s="4"/>
      <c r="E113" s="4"/>
      <c r="F113" s="4"/>
      <c r="G113" s="4"/>
      <c r="H113" s="4"/>
      <c r="I113" s="4"/>
      <c r="J113" s="4"/>
      <c r="K113" s="4"/>
      <c r="L113" s="4"/>
      <c r="M113" s="4"/>
      <c r="N113" s="4"/>
      <c r="O113" s="4"/>
      <c r="P113" s="4"/>
      <c r="Q113" s="4"/>
      <c r="R113" s="4"/>
      <c r="S113" s="4"/>
      <c r="T113" s="4"/>
      <c r="U113" s="4"/>
      <c r="V113" s="4"/>
      <c r="W113" s="4"/>
      <c r="AP113" s="4"/>
      <c r="AQ113" s="4"/>
      <c r="AR113" s="4"/>
      <c r="AS113" s="4"/>
      <c r="AT113" s="4"/>
    </row>
    <row r="114" spans="3:46">
      <c r="C114" s="4"/>
      <c r="D114" s="4"/>
      <c r="E114" s="4"/>
      <c r="F114" s="4"/>
      <c r="G114" s="4"/>
      <c r="H114" s="4"/>
      <c r="I114" s="4"/>
      <c r="J114" s="4"/>
      <c r="K114" s="4"/>
      <c r="L114" s="4"/>
      <c r="M114" s="4"/>
      <c r="N114" s="4"/>
      <c r="O114" s="4"/>
      <c r="P114" s="4"/>
      <c r="Q114" s="4"/>
      <c r="R114" s="4"/>
      <c r="S114" s="4"/>
      <c r="T114" s="4"/>
      <c r="U114" s="4"/>
      <c r="V114" s="4"/>
      <c r="W114" s="4"/>
      <c r="AP114" s="4"/>
      <c r="AQ114" s="4"/>
      <c r="AR114" s="4"/>
      <c r="AS114" s="4"/>
      <c r="AT114" s="4"/>
    </row>
    <row r="115" spans="3:46">
      <c r="C115" s="4"/>
      <c r="D115" s="4"/>
      <c r="E115" s="4"/>
      <c r="F115" s="4"/>
      <c r="G115" s="4"/>
      <c r="H115" s="4"/>
      <c r="I115" s="4"/>
      <c r="J115" s="4"/>
      <c r="K115" s="4"/>
      <c r="L115" s="4"/>
      <c r="M115" s="4"/>
      <c r="N115" s="4"/>
      <c r="O115" s="4"/>
      <c r="P115" s="4"/>
      <c r="Q115" s="4"/>
      <c r="R115" s="4"/>
      <c r="S115" s="4"/>
      <c r="T115" s="4"/>
      <c r="U115" s="4"/>
      <c r="V115" s="4"/>
      <c r="W115" s="4"/>
      <c r="AP115" s="4"/>
      <c r="AQ115" s="4"/>
      <c r="AR115" s="4"/>
      <c r="AS115" s="4"/>
      <c r="AT115" s="4"/>
    </row>
    <row r="116" spans="3:46">
      <c r="C116" s="4"/>
      <c r="D116" s="4"/>
      <c r="E116" s="4"/>
      <c r="F116" s="4"/>
      <c r="G116" s="4"/>
      <c r="H116" s="4"/>
      <c r="I116" s="4"/>
      <c r="J116" s="4"/>
      <c r="K116" s="4"/>
      <c r="L116" s="4"/>
      <c r="M116" s="4"/>
      <c r="N116" s="4"/>
      <c r="O116" s="4"/>
      <c r="P116" s="4"/>
      <c r="Q116" s="4"/>
      <c r="R116" s="4"/>
      <c r="S116" s="4"/>
      <c r="T116" s="4"/>
      <c r="U116" s="4"/>
      <c r="V116" s="4"/>
      <c r="W116" s="4"/>
      <c r="AP116" s="4"/>
      <c r="AQ116" s="4"/>
      <c r="AR116" s="4"/>
      <c r="AS116" s="4"/>
      <c r="AT116" s="4"/>
    </row>
    <row r="117" spans="3:46">
      <c r="C117" s="4"/>
      <c r="D117" s="4"/>
      <c r="E117" s="4"/>
      <c r="F117" s="4"/>
      <c r="G117" s="4"/>
      <c r="H117" s="4"/>
      <c r="I117" s="4"/>
      <c r="J117" s="4"/>
      <c r="K117" s="4"/>
      <c r="L117" s="4"/>
      <c r="M117" s="4"/>
      <c r="N117" s="4"/>
      <c r="O117" s="4"/>
      <c r="P117" s="4"/>
      <c r="Q117" s="4"/>
      <c r="R117" s="4"/>
      <c r="S117" s="4"/>
      <c r="T117" s="4"/>
      <c r="U117" s="4"/>
      <c r="V117" s="4"/>
      <c r="W117" s="4"/>
      <c r="AP117" s="4"/>
      <c r="AQ117" s="4"/>
      <c r="AR117" s="4"/>
      <c r="AS117" s="4"/>
      <c r="AT117" s="4"/>
    </row>
    <row r="118" spans="3:46">
      <c r="C118" s="4"/>
      <c r="D118" s="4"/>
      <c r="E118" s="4"/>
      <c r="F118" s="4"/>
      <c r="G118" s="4"/>
      <c r="H118" s="4"/>
      <c r="I118" s="4"/>
      <c r="J118" s="4"/>
      <c r="K118" s="4"/>
      <c r="L118" s="4"/>
      <c r="M118" s="4"/>
      <c r="N118" s="4"/>
      <c r="O118" s="4"/>
      <c r="P118" s="4"/>
      <c r="Q118" s="4"/>
      <c r="R118" s="4"/>
      <c r="S118" s="4"/>
      <c r="T118" s="4"/>
      <c r="U118" s="4"/>
      <c r="V118" s="4"/>
      <c r="W118" s="4"/>
      <c r="AP118" s="4"/>
      <c r="AQ118" s="4"/>
      <c r="AR118" s="4"/>
      <c r="AS118" s="4"/>
      <c r="AT118" s="4"/>
    </row>
    <row r="119" spans="3:46">
      <c r="C119" s="4"/>
      <c r="D119" s="4"/>
      <c r="E119" s="4"/>
      <c r="F119" s="4"/>
      <c r="G119" s="4"/>
      <c r="H119" s="4"/>
      <c r="I119" s="4"/>
      <c r="J119" s="4"/>
      <c r="K119" s="4"/>
      <c r="L119" s="4"/>
      <c r="M119" s="4"/>
      <c r="N119" s="4"/>
      <c r="O119" s="4"/>
      <c r="P119" s="4"/>
      <c r="Q119" s="4"/>
      <c r="R119" s="4"/>
      <c r="S119" s="4"/>
      <c r="T119" s="4"/>
      <c r="U119" s="4"/>
      <c r="V119" s="4"/>
      <c r="W119" s="4"/>
      <c r="AP119" s="4"/>
      <c r="AQ119" s="4"/>
      <c r="AR119" s="4"/>
      <c r="AS119" s="4"/>
      <c r="AT119" s="4"/>
    </row>
    <row r="120" spans="3:46">
      <c r="C120" s="4"/>
      <c r="D120" s="4"/>
      <c r="E120" s="4"/>
      <c r="F120" s="4"/>
      <c r="G120" s="4"/>
      <c r="H120" s="4"/>
      <c r="I120" s="4"/>
      <c r="J120" s="4"/>
      <c r="K120" s="4"/>
      <c r="L120" s="4"/>
      <c r="M120" s="4"/>
      <c r="N120" s="4"/>
      <c r="O120" s="4"/>
      <c r="P120" s="4"/>
      <c r="Q120" s="4"/>
      <c r="R120" s="4"/>
      <c r="S120" s="4"/>
      <c r="T120" s="4"/>
      <c r="U120" s="4"/>
      <c r="V120" s="4"/>
      <c r="W120" s="4"/>
      <c r="AP120" s="4"/>
      <c r="AQ120" s="4"/>
      <c r="AR120" s="4"/>
      <c r="AS120" s="4"/>
      <c r="AT120" s="4"/>
    </row>
    <row r="121" spans="3:46">
      <c r="C121" s="4"/>
      <c r="D121" s="4"/>
      <c r="E121" s="4"/>
      <c r="F121" s="4"/>
      <c r="G121" s="4"/>
      <c r="H121" s="4"/>
      <c r="I121" s="4"/>
      <c r="J121" s="4"/>
      <c r="K121" s="4"/>
      <c r="L121" s="4"/>
      <c r="M121" s="4"/>
      <c r="N121" s="4"/>
      <c r="O121" s="4"/>
      <c r="P121" s="4"/>
      <c r="Q121" s="4"/>
      <c r="R121" s="4"/>
      <c r="S121" s="4"/>
      <c r="T121" s="4"/>
      <c r="U121" s="4"/>
      <c r="V121" s="4"/>
      <c r="W121" s="4"/>
      <c r="AP121" s="4"/>
      <c r="AQ121" s="4"/>
      <c r="AR121" s="4"/>
      <c r="AS121" s="4"/>
      <c r="AT121" s="4"/>
    </row>
    <row r="122" spans="3:46">
      <c r="C122" s="4"/>
      <c r="D122" s="4"/>
      <c r="E122" s="4"/>
      <c r="F122" s="4"/>
      <c r="G122" s="4"/>
      <c r="H122" s="4"/>
      <c r="I122" s="4"/>
      <c r="J122" s="4"/>
      <c r="K122" s="4"/>
      <c r="L122" s="4"/>
      <c r="M122" s="4"/>
      <c r="N122" s="4"/>
      <c r="O122" s="4"/>
      <c r="P122" s="4"/>
      <c r="Q122" s="4"/>
      <c r="R122" s="4"/>
      <c r="S122" s="4"/>
      <c r="T122" s="4"/>
      <c r="U122" s="4"/>
      <c r="V122" s="4"/>
      <c r="W122" s="4"/>
      <c r="AP122" s="4"/>
      <c r="AQ122" s="4"/>
      <c r="AR122" s="4"/>
      <c r="AS122" s="4"/>
      <c r="AT122" s="4"/>
    </row>
    <row r="123" spans="3:46">
      <c r="C123" s="4"/>
      <c r="D123" s="4"/>
      <c r="E123" s="4"/>
      <c r="F123" s="4"/>
      <c r="G123" s="4"/>
      <c r="H123" s="4"/>
      <c r="I123" s="4"/>
      <c r="J123" s="4"/>
      <c r="K123" s="4"/>
      <c r="L123" s="4"/>
      <c r="M123" s="4"/>
      <c r="N123" s="4"/>
      <c r="O123" s="4"/>
      <c r="P123" s="4"/>
      <c r="Q123" s="4"/>
      <c r="R123" s="4"/>
      <c r="S123" s="4"/>
      <c r="T123" s="4"/>
      <c r="U123" s="4"/>
      <c r="V123" s="4"/>
      <c r="W123" s="4"/>
      <c r="AP123" s="4"/>
      <c r="AQ123" s="4"/>
      <c r="AR123" s="4"/>
      <c r="AS123" s="4"/>
      <c r="AT123" s="4"/>
    </row>
    <row r="124" spans="3:46">
      <c r="C124" s="4"/>
      <c r="D124" s="4"/>
      <c r="E124" s="4"/>
      <c r="F124" s="4"/>
      <c r="G124" s="4"/>
      <c r="H124" s="4"/>
      <c r="I124" s="4"/>
      <c r="J124" s="4"/>
      <c r="K124" s="4"/>
      <c r="L124" s="4"/>
      <c r="M124" s="4"/>
      <c r="N124" s="4"/>
      <c r="O124" s="4"/>
      <c r="P124" s="4"/>
      <c r="Q124" s="4"/>
      <c r="R124" s="4"/>
      <c r="S124" s="4"/>
      <c r="T124" s="4"/>
      <c r="U124" s="4"/>
      <c r="V124" s="4"/>
      <c r="W124" s="4"/>
      <c r="AP124" s="4"/>
      <c r="AQ124" s="4"/>
      <c r="AR124" s="4"/>
      <c r="AS124" s="4"/>
      <c r="AT124" s="4"/>
    </row>
    <row r="125" spans="3:46">
      <c r="C125" s="4"/>
      <c r="D125" s="4"/>
      <c r="E125" s="4"/>
      <c r="F125" s="4"/>
      <c r="G125" s="4"/>
      <c r="H125" s="4"/>
      <c r="I125" s="4"/>
      <c r="J125" s="4"/>
      <c r="K125" s="4"/>
      <c r="L125" s="4"/>
      <c r="M125" s="4"/>
      <c r="N125" s="4"/>
      <c r="O125" s="4"/>
      <c r="P125" s="4"/>
      <c r="Q125" s="4"/>
      <c r="R125" s="4"/>
      <c r="S125" s="4"/>
      <c r="T125" s="4"/>
      <c r="U125" s="4"/>
      <c r="V125" s="4"/>
      <c r="W125" s="4"/>
      <c r="AP125" s="4"/>
      <c r="AQ125" s="4"/>
      <c r="AR125" s="4"/>
      <c r="AS125" s="4"/>
      <c r="AT125" s="4"/>
    </row>
    <row r="126" spans="3:46">
      <c r="C126" s="4"/>
      <c r="D126" s="4"/>
      <c r="E126" s="4"/>
      <c r="F126" s="4"/>
      <c r="G126" s="4"/>
      <c r="H126" s="4"/>
      <c r="I126" s="4"/>
      <c r="J126" s="4"/>
      <c r="K126" s="4"/>
      <c r="L126" s="4"/>
      <c r="M126" s="4"/>
      <c r="N126" s="4"/>
      <c r="O126" s="4"/>
      <c r="P126" s="4"/>
      <c r="Q126" s="4"/>
      <c r="R126" s="4"/>
      <c r="S126" s="4"/>
      <c r="T126" s="4"/>
      <c r="U126" s="4"/>
      <c r="V126" s="4"/>
      <c r="W126" s="4"/>
      <c r="AP126" s="4"/>
      <c r="AQ126" s="4"/>
      <c r="AR126" s="4"/>
      <c r="AS126" s="4"/>
      <c r="AT126" s="4"/>
    </row>
    <row r="127" spans="3:46">
      <c r="C127" s="4"/>
      <c r="D127" s="4"/>
      <c r="E127" s="4"/>
      <c r="F127" s="4"/>
      <c r="G127" s="4"/>
      <c r="H127" s="4"/>
      <c r="I127" s="4"/>
      <c r="J127" s="4"/>
      <c r="K127" s="4"/>
      <c r="L127" s="4"/>
      <c r="M127" s="4"/>
      <c r="N127" s="4"/>
      <c r="O127" s="4"/>
      <c r="P127" s="4"/>
      <c r="Q127" s="4"/>
      <c r="R127" s="4"/>
      <c r="S127" s="4"/>
      <c r="T127" s="4"/>
      <c r="U127" s="4"/>
      <c r="V127" s="4"/>
      <c r="W127" s="4"/>
      <c r="AP127" s="4"/>
      <c r="AQ127" s="4"/>
      <c r="AR127" s="4"/>
      <c r="AS127" s="4"/>
      <c r="AT127" s="4"/>
    </row>
    <row r="128" spans="3:46">
      <c r="C128" s="4"/>
      <c r="D128" s="4"/>
      <c r="E128" s="4"/>
      <c r="F128" s="4"/>
      <c r="G128" s="4"/>
      <c r="H128" s="4"/>
      <c r="I128" s="4"/>
      <c r="J128" s="4"/>
      <c r="K128" s="4"/>
      <c r="L128" s="4"/>
      <c r="M128" s="4"/>
      <c r="N128" s="4"/>
      <c r="O128" s="4"/>
      <c r="P128" s="4"/>
      <c r="Q128" s="4"/>
      <c r="R128" s="4"/>
      <c r="S128" s="4"/>
      <c r="T128" s="4"/>
      <c r="U128" s="4"/>
      <c r="V128" s="4"/>
      <c r="W128" s="4"/>
      <c r="AP128" s="4"/>
      <c r="AQ128" s="4"/>
      <c r="AR128" s="4"/>
      <c r="AS128" s="4"/>
      <c r="AT128" s="4"/>
    </row>
    <row r="129" spans="3:46">
      <c r="C129" s="4"/>
      <c r="D129" s="4"/>
      <c r="E129" s="4"/>
      <c r="F129" s="4"/>
      <c r="G129" s="4"/>
      <c r="H129" s="4"/>
      <c r="I129" s="4"/>
      <c r="J129" s="4"/>
      <c r="K129" s="4"/>
      <c r="L129" s="4"/>
      <c r="M129" s="4"/>
      <c r="N129" s="4"/>
      <c r="O129" s="4"/>
      <c r="P129" s="4"/>
      <c r="Q129" s="4"/>
      <c r="R129" s="4"/>
      <c r="S129" s="4"/>
      <c r="T129" s="4"/>
      <c r="U129" s="4"/>
      <c r="V129" s="4"/>
      <c r="W129" s="4"/>
      <c r="AP129" s="4"/>
      <c r="AQ129" s="4"/>
      <c r="AR129" s="4"/>
      <c r="AS129" s="4"/>
      <c r="AT129" s="4"/>
    </row>
    <row r="130" spans="3:46">
      <c r="C130" s="4"/>
      <c r="D130" s="4"/>
      <c r="E130" s="4"/>
      <c r="F130" s="4"/>
      <c r="G130" s="4"/>
      <c r="H130" s="4"/>
      <c r="I130" s="4"/>
      <c r="J130" s="4"/>
      <c r="K130" s="4"/>
      <c r="L130" s="4"/>
      <c r="M130" s="4"/>
      <c r="N130" s="4"/>
      <c r="O130" s="4"/>
      <c r="P130" s="4"/>
      <c r="Q130" s="4"/>
      <c r="R130" s="4"/>
      <c r="S130" s="4"/>
      <c r="T130" s="4"/>
      <c r="U130" s="4"/>
      <c r="V130" s="4"/>
      <c r="W130" s="4"/>
      <c r="AP130" s="4"/>
      <c r="AQ130" s="4"/>
      <c r="AR130" s="4"/>
      <c r="AS130" s="4"/>
      <c r="AT130" s="4"/>
    </row>
    <row r="131" spans="3:46">
      <c r="C131" s="4"/>
      <c r="D131" s="4"/>
      <c r="E131" s="4"/>
      <c r="F131" s="4"/>
      <c r="G131" s="4"/>
      <c r="H131" s="4"/>
      <c r="I131" s="4"/>
      <c r="J131" s="4"/>
      <c r="K131" s="4"/>
      <c r="L131" s="4"/>
      <c r="M131" s="4"/>
      <c r="N131" s="4"/>
      <c r="O131" s="4"/>
      <c r="P131" s="4"/>
      <c r="Q131" s="4"/>
      <c r="R131" s="4"/>
      <c r="S131" s="4"/>
      <c r="T131" s="4"/>
      <c r="U131" s="4"/>
      <c r="V131" s="4"/>
      <c r="W131" s="4"/>
      <c r="AP131" s="4"/>
      <c r="AQ131" s="4"/>
      <c r="AR131" s="4"/>
      <c r="AS131" s="4"/>
      <c r="AT131" s="4"/>
    </row>
    <row r="132" spans="3:46">
      <c r="C132" s="4"/>
      <c r="D132" s="4"/>
      <c r="E132" s="4"/>
      <c r="F132" s="4"/>
      <c r="G132" s="4"/>
      <c r="H132" s="4"/>
      <c r="I132" s="4"/>
      <c r="J132" s="4"/>
      <c r="K132" s="4"/>
      <c r="L132" s="4"/>
      <c r="M132" s="4"/>
      <c r="N132" s="4"/>
      <c r="O132" s="4"/>
      <c r="P132" s="4"/>
      <c r="Q132" s="4"/>
      <c r="R132" s="4"/>
      <c r="S132" s="4"/>
      <c r="T132" s="4"/>
      <c r="U132" s="4"/>
      <c r="V132" s="4"/>
      <c r="W132" s="4"/>
      <c r="AP132" s="4"/>
      <c r="AQ132" s="4"/>
      <c r="AR132" s="4"/>
      <c r="AS132" s="4"/>
      <c r="AT132" s="4"/>
    </row>
    <row r="133" spans="3:46">
      <c r="C133" s="4"/>
      <c r="D133" s="4"/>
      <c r="E133" s="4"/>
      <c r="F133" s="4"/>
      <c r="G133" s="4"/>
      <c r="H133" s="4"/>
      <c r="I133" s="4"/>
      <c r="J133" s="4"/>
      <c r="K133" s="4"/>
      <c r="L133" s="4"/>
      <c r="M133" s="4"/>
      <c r="N133" s="4"/>
      <c r="O133" s="4"/>
      <c r="P133" s="4"/>
      <c r="Q133" s="4"/>
      <c r="R133" s="4"/>
      <c r="S133" s="4"/>
      <c r="T133" s="4"/>
      <c r="U133" s="4"/>
      <c r="V133" s="4"/>
      <c r="W133" s="4"/>
      <c r="AP133" s="4"/>
      <c r="AQ133" s="4"/>
      <c r="AR133" s="4"/>
      <c r="AS133" s="4"/>
      <c r="AT133" s="4"/>
    </row>
    <row r="134" spans="3:46">
      <c r="C134" s="4"/>
      <c r="D134" s="4"/>
      <c r="E134" s="4"/>
      <c r="F134" s="4"/>
      <c r="G134" s="4"/>
      <c r="H134" s="4"/>
      <c r="I134" s="4"/>
      <c r="J134" s="4"/>
      <c r="K134" s="4"/>
      <c r="L134" s="4"/>
      <c r="M134" s="4"/>
      <c r="N134" s="4"/>
      <c r="O134" s="4"/>
      <c r="P134" s="4"/>
      <c r="Q134" s="4"/>
      <c r="R134" s="4"/>
      <c r="S134" s="4"/>
      <c r="T134" s="4"/>
      <c r="U134" s="4"/>
      <c r="V134" s="4"/>
      <c r="W134" s="4"/>
      <c r="AP134" s="4"/>
      <c r="AQ134" s="4"/>
      <c r="AR134" s="4"/>
      <c r="AS134" s="4"/>
      <c r="AT134" s="4"/>
    </row>
    <row r="135" spans="3:46">
      <c r="C135" s="4"/>
      <c r="D135" s="4"/>
      <c r="E135" s="4"/>
      <c r="F135" s="4"/>
      <c r="G135" s="4"/>
      <c r="H135" s="4"/>
      <c r="I135" s="4"/>
      <c r="J135" s="4"/>
      <c r="K135" s="4"/>
      <c r="L135" s="4"/>
      <c r="M135" s="4"/>
      <c r="N135" s="4"/>
      <c r="O135" s="4"/>
      <c r="P135" s="4"/>
      <c r="Q135" s="4"/>
      <c r="R135" s="4"/>
      <c r="S135" s="4"/>
      <c r="T135" s="4"/>
      <c r="U135" s="4"/>
      <c r="V135" s="4"/>
      <c r="W135" s="4"/>
      <c r="AP135" s="4"/>
      <c r="AQ135" s="4"/>
      <c r="AR135" s="4"/>
      <c r="AS135" s="4"/>
      <c r="AT135" s="4"/>
    </row>
    <row r="136" spans="3:46">
      <c r="C136" s="4"/>
      <c r="D136" s="4"/>
      <c r="E136" s="4"/>
      <c r="F136" s="4"/>
      <c r="G136" s="4"/>
      <c r="H136" s="4"/>
      <c r="I136" s="4"/>
      <c r="J136" s="4"/>
      <c r="K136" s="4"/>
      <c r="L136" s="4"/>
      <c r="M136" s="4"/>
      <c r="N136" s="4"/>
      <c r="O136" s="4"/>
      <c r="P136" s="4"/>
      <c r="Q136" s="4"/>
      <c r="R136" s="4"/>
      <c r="S136" s="4"/>
      <c r="T136" s="4"/>
      <c r="U136" s="4"/>
      <c r="V136" s="4"/>
      <c r="W136" s="4"/>
      <c r="AP136" s="4"/>
      <c r="AQ136" s="4"/>
      <c r="AR136" s="4"/>
      <c r="AS136" s="4"/>
      <c r="AT136" s="4"/>
    </row>
    <row r="137" spans="3:46">
      <c r="C137" s="4"/>
      <c r="D137" s="4"/>
      <c r="E137" s="4"/>
      <c r="F137" s="4"/>
      <c r="G137" s="4"/>
      <c r="H137" s="4"/>
      <c r="I137" s="4"/>
      <c r="J137" s="4"/>
      <c r="K137" s="4"/>
      <c r="L137" s="4"/>
      <c r="M137" s="4"/>
      <c r="N137" s="4"/>
      <c r="O137" s="4"/>
      <c r="P137" s="4"/>
      <c r="Q137" s="4"/>
      <c r="R137" s="4"/>
      <c r="S137" s="4"/>
      <c r="T137" s="4"/>
      <c r="U137" s="4"/>
      <c r="V137" s="4"/>
      <c r="W137" s="4"/>
      <c r="AP137" s="4"/>
      <c r="AQ137" s="4"/>
      <c r="AR137" s="4"/>
      <c r="AS137" s="4"/>
      <c r="AT137" s="4"/>
    </row>
    <row r="138" spans="3:46">
      <c r="C138" s="4"/>
      <c r="D138" s="4"/>
      <c r="E138" s="4"/>
      <c r="F138" s="4"/>
      <c r="G138" s="4"/>
      <c r="H138" s="4"/>
      <c r="I138" s="4"/>
      <c r="J138" s="4"/>
      <c r="K138" s="4"/>
      <c r="L138" s="4"/>
      <c r="M138" s="4"/>
      <c r="N138" s="4"/>
      <c r="O138" s="4"/>
      <c r="P138" s="4"/>
      <c r="Q138" s="4"/>
      <c r="R138" s="4"/>
      <c r="S138" s="4"/>
      <c r="T138" s="4"/>
      <c r="U138" s="4"/>
      <c r="V138" s="4"/>
      <c r="W138" s="4"/>
      <c r="AP138" s="4"/>
      <c r="AQ138" s="4"/>
      <c r="AR138" s="4"/>
      <c r="AS138" s="4"/>
      <c r="AT138" s="4"/>
    </row>
    <row r="139" spans="3:46">
      <c r="C139" s="4"/>
      <c r="D139" s="4"/>
      <c r="E139" s="4"/>
      <c r="F139" s="4"/>
      <c r="G139" s="4"/>
      <c r="H139" s="4"/>
      <c r="I139" s="4"/>
      <c r="J139" s="4"/>
      <c r="K139" s="4"/>
      <c r="L139" s="4"/>
      <c r="M139" s="4"/>
      <c r="N139" s="4"/>
      <c r="O139" s="4"/>
      <c r="P139" s="4"/>
      <c r="Q139" s="4"/>
      <c r="R139" s="4"/>
      <c r="S139" s="4"/>
      <c r="T139" s="4"/>
      <c r="U139" s="4"/>
      <c r="V139" s="4"/>
      <c r="W139" s="4"/>
      <c r="AP139" s="4"/>
      <c r="AQ139" s="4"/>
      <c r="AR139" s="4"/>
      <c r="AS139" s="4"/>
      <c r="AT139" s="4"/>
    </row>
    <row r="140" spans="3:46">
      <c r="C140" s="4"/>
      <c r="D140" s="4"/>
      <c r="E140" s="4"/>
      <c r="F140" s="4"/>
      <c r="G140" s="4"/>
      <c r="H140" s="4"/>
      <c r="I140" s="4"/>
      <c r="J140" s="4"/>
      <c r="K140" s="4"/>
      <c r="L140" s="4"/>
      <c r="M140" s="4"/>
      <c r="N140" s="4"/>
      <c r="O140" s="4"/>
      <c r="P140" s="4"/>
      <c r="Q140" s="4"/>
      <c r="R140" s="4"/>
      <c r="S140" s="4"/>
      <c r="T140" s="4"/>
      <c r="U140" s="4"/>
      <c r="V140" s="4"/>
      <c r="W140" s="4"/>
      <c r="AP140" s="4"/>
      <c r="AQ140" s="4"/>
      <c r="AR140" s="4"/>
      <c r="AS140" s="4"/>
      <c r="AT140" s="4"/>
    </row>
    <row r="141" spans="3:46">
      <c r="C141" s="4"/>
      <c r="D141" s="4"/>
      <c r="E141" s="4"/>
      <c r="F141" s="4"/>
      <c r="G141" s="4"/>
      <c r="H141" s="4"/>
      <c r="I141" s="4"/>
      <c r="J141" s="4"/>
      <c r="K141" s="4"/>
      <c r="L141" s="4"/>
      <c r="M141" s="4"/>
      <c r="N141" s="4"/>
      <c r="O141" s="4"/>
      <c r="P141" s="4"/>
      <c r="Q141" s="4"/>
      <c r="R141" s="4"/>
      <c r="S141" s="4"/>
      <c r="T141" s="4"/>
      <c r="U141" s="4"/>
      <c r="V141" s="4"/>
      <c r="W141" s="4"/>
      <c r="AP141" s="4"/>
      <c r="AQ141" s="4"/>
      <c r="AR141" s="4"/>
      <c r="AS141" s="4"/>
      <c r="AT141" s="4"/>
    </row>
    <row r="142" spans="3:46">
      <c r="C142" s="4"/>
      <c r="D142" s="4"/>
      <c r="E142" s="4"/>
      <c r="F142" s="4"/>
      <c r="G142" s="4"/>
      <c r="H142" s="4"/>
      <c r="I142" s="4"/>
      <c r="J142" s="4"/>
      <c r="K142" s="4"/>
      <c r="L142" s="4"/>
      <c r="M142" s="4"/>
      <c r="N142" s="4"/>
      <c r="O142" s="4"/>
      <c r="P142" s="4"/>
      <c r="Q142" s="4"/>
      <c r="R142" s="4"/>
      <c r="S142" s="4"/>
      <c r="T142" s="4"/>
      <c r="U142" s="4"/>
      <c r="V142" s="4"/>
      <c r="W142" s="4"/>
      <c r="AP142" s="4"/>
      <c r="AQ142" s="4"/>
      <c r="AR142" s="4"/>
      <c r="AS142" s="4"/>
      <c r="AT142" s="4"/>
    </row>
    <row r="143" spans="3:46">
      <c r="C143" s="4"/>
      <c r="D143" s="4"/>
      <c r="E143" s="4"/>
      <c r="F143" s="4"/>
      <c r="G143" s="4"/>
      <c r="H143" s="4"/>
      <c r="I143" s="4"/>
      <c r="J143" s="4"/>
      <c r="K143" s="4"/>
      <c r="L143" s="4"/>
      <c r="M143" s="4"/>
      <c r="N143" s="4"/>
      <c r="O143" s="4"/>
      <c r="P143" s="4"/>
      <c r="Q143" s="4"/>
      <c r="R143" s="4"/>
      <c r="S143" s="4"/>
      <c r="T143" s="4"/>
      <c r="U143" s="4"/>
      <c r="V143" s="4"/>
      <c r="W143" s="4"/>
      <c r="AP143" s="4"/>
      <c r="AQ143" s="4"/>
      <c r="AR143" s="4"/>
      <c r="AS143" s="4"/>
      <c r="AT143" s="4"/>
    </row>
    <row r="144" spans="3:46">
      <c r="C144" s="4"/>
      <c r="D144" s="4"/>
      <c r="E144" s="4"/>
      <c r="F144" s="4"/>
      <c r="G144" s="4"/>
      <c r="H144" s="4"/>
      <c r="I144" s="4"/>
      <c r="J144" s="4"/>
      <c r="K144" s="4"/>
      <c r="L144" s="4"/>
      <c r="M144" s="4"/>
      <c r="N144" s="4"/>
      <c r="O144" s="4"/>
      <c r="P144" s="4"/>
      <c r="Q144" s="4"/>
      <c r="R144" s="4"/>
      <c r="S144" s="4"/>
      <c r="T144" s="4"/>
      <c r="U144" s="4"/>
      <c r="V144" s="4"/>
      <c r="W144" s="4"/>
      <c r="AP144" s="4"/>
      <c r="AQ144" s="4"/>
      <c r="AR144" s="4"/>
      <c r="AS144" s="4"/>
      <c r="AT144" s="4"/>
    </row>
    <row r="145" spans="3:46">
      <c r="C145" s="4"/>
      <c r="D145" s="4"/>
      <c r="E145" s="4"/>
      <c r="F145" s="4"/>
      <c r="G145" s="4"/>
      <c r="H145" s="4"/>
      <c r="I145" s="4"/>
      <c r="J145" s="4"/>
      <c r="K145" s="4"/>
      <c r="L145" s="4"/>
      <c r="M145" s="4"/>
      <c r="N145" s="4"/>
      <c r="O145" s="4"/>
      <c r="P145" s="4"/>
      <c r="Q145" s="4"/>
      <c r="R145" s="4"/>
      <c r="S145" s="4"/>
      <c r="T145" s="4"/>
      <c r="U145" s="4"/>
      <c r="V145" s="4"/>
      <c r="W145" s="4"/>
      <c r="AP145" s="4"/>
      <c r="AQ145" s="4"/>
      <c r="AR145" s="4"/>
      <c r="AS145" s="4"/>
      <c r="AT145" s="4"/>
    </row>
    <row r="146" spans="3:46">
      <c r="C146" s="4"/>
      <c r="D146" s="4"/>
      <c r="E146" s="4"/>
      <c r="F146" s="4"/>
      <c r="G146" s="4"/>
      <c r="H146" s="4"/>
      <c r="I146" s="4"/>
      <c r="J146" s="4"/>
      <c r="K146" s="4"/>
      <c r="L146" s="4"/>
      <c r="M146" s="4"/>
      <c r="N146" s="4"/>
      <c r="O146" s="4"/>
      <c r="P146" s="4"/>
      <c r="Q146" s="4"/>
      <c r="R146" s="4"/>
      <c r="S146" s="4"/>
      <c r="T146" s="4"/>
      <c r="U146" s="4"/>
      <c r="V146" s="4"/>
      <c r="W146" s="4"/>
      <c r="AP146" s="4"/>
      <c r="AQ146" s="4"/>
      <c r="AR146" s="4"/>
      <c r="AS146" s="4"/>
      <c r="AT146" s="4"/>
    </row>
    <row r="147" spans="3:46">
      <c r="C147" s="4"/>
      <c r="D147" s="4"/>
      <c r="E147" s="4"/>
      <c r="F147" s="4"/>
      <c r="G147" s="4"/>
      <c r="H147" s="4"/>
      <c r="I147" s="4"/>
      <c r="J147" s="4"/>
      <c r="K147" s="4"/>
      <c r="L147" s="4"/>
      <c r="M147" s="4"/>
      <c r="N147" s="4"/>
      <c r="O147" s="4"/>
      <c r="P147" s="4"/>
      <c r="Q147" s="4"/>
      <c r="R147" s="4"/>
      <c r="S147" s="4"/>
      <c r="T147" s="4"/>
      <c r="U147" s="4"/>
      <c r="V147" s="4"/>
      <c r="W147" s="4"/>
      <c r="AP147" s="4"/>
      <c r="AQ147" s="4"/>
      <c r="AR147" s="4"/>
      <c r="AS147" s="4"/>
      <c r="AT147" s="4"/>
    </row>
    <row r="148" spans="3:46">
      <c r="C148" s="4"/>
      <c r="D148" s="4"/>
      <c r="E148" s="4"/>
      <c r="F148" s="4"/>
      <c r="G148" s="4"/>
      <c r="H148" s="4"/>
      <c r="I148" s="4"/>
      <c r="J148" s="4"/>
      <c r="K148" s="4"/>
      <c r="L148" s="4"/>
      <c r="M148" s="4"/>
      <c r="N148" s="4"/>
      <c r="O148" s="4"/>
      <c r="P148" s="4"/>
      <c r="Q148" s="4"/>
      <c r="R148" s="4"/>
      <c r="S148" s="4"/>
      <c r="T148" s="4"/>
      <c r="U148" s="4"/>
      <c r="V148" s="4"/>
      <c r="W148" s="4"/>
      <c r="AP148" s="4"/>
      <c r="AQ148" s="4"/>
      <c r="AR148" s="4"/>
      <c r="AS148" s="4"/>
      <c r="AT148" s="4"/>
    </row>
    <row r="149" spans="3:46">
      <c r="C149" s="4"/>
      <c r="D149" s="4"/>
      <c r="E149" s="4"/>
      <c r="F149" s="4"/>
      <c r="G149" s="4"/>
      <c r="H149" s="4"/>
      <c r="I149" s="4"/>
      <c r="J149" s="4"/>
      <c r="K149" s="4"/>
      <c r="L149" s="4"/>
      <c r="M149" s="4"/>
      <c r="N149" s="4"/>
      <c r="O149" s="4"/>
      <c r="P149" s="4"/>
      <c r="Q149" s="4"/>
      <c r="R149" s="4"/>
      <c r="S149" s="4"/>
      <c r="T149" s="4"/>
      <c r="U149" s="4"/>
      <c r="V149" s="4"/>
      <c r="W149" s="4"/>
      <c r="AP149" s="4"/>
      <c r="AQ149" s="4"/>
      <c r="AR149" s="4"/>
      <c r="AS149" s="4"/>
      <c r="AT149" s="4"/>
    </row>
    <row r="150" spans="3:46">
      <c r="C150" s="4"/>
      <c r="D150" s="4"/>
      <c r="E150" s="4"/>
      <c r="F150" s="4"/>
      <c r="G150" s="4"/>
      <c r="H150" s="4"/>
      <c r="I150" s="4"/>
      <c r="J150" s="4"/>
      <c r="K150" s="4"/>
      <c r="L150" s="4"/>
      <c r="M150" s="4"/>
      <c r="N150" s="4"/>
      <c r="O150" s="4"/>
      <c r="P150" s="4"/>
      <c r="Q150" s="4"/>
      <c r="R150" s="4"/>
      <c r="S150" s="4"/>
      <c r="T150" s="4"/>
      <c r="U150" s="4"/>
      <c r="V150" s="4"/>
      <c r="W150" s="4"/>
      <c r="AP150" s="4"/>
      <c r="AQ150" s="4"/>
      <c r="AR150" s="4"/>
      <c r="AS150" s="4"/>
      <c r="AT150" s="4"/>
    </row>
    <row r="151" spans="3:46">
      <c r="C151" s="4"/>
      <c r="D151" s="4"/>
      <c r="E151" s="4"/>
      <c r="F151" s="4"/>
      <c r="G151" s="4"/>
      <c r="H151" s="4"/>
      <c r="I151" s="4"/>
      <c r="J151" s="4"/>
      <c r="K151" s="4"/>
      <c r="L151" s="4"/>
      <c r="M151" s="4"/>
      <c r="N151" s="4"/>
      <c r="O151" s="4"/>
      <c r="P151" s="4"/>
      <c r="Q151" s="4"/>
      <c r="R151" s="4"/>
      <c r="S151" s="4"/>
      <c r="T151" s="4"/>
      <c r="U151" s="4"/>
      <c r="V151" s="4"/>
      <c r="W151" s="4"/>
      <c r="AP151" s="4"/>
      <c r="AQ151" s="4"/>
      <c r="AR151" s="4"/>
      <c r="AS151" s="4"/>
      <c r="AT151" s="4"/>
    </row>
    <row r="152" spans="3:46">
      <c r="C152" s="4"/>
      <c r="D152" s="4"/>
      <c r="E152" s="4"/>
      <c r="F152" s="4"/>
      <c r="G152" s="4"/>
      <c r="H152" s="4"/>
      <c r="I152" s="4"/>
      <c r="J152" s="4"/>
      <c r="K152" s="4"/>
      <c r="L152" s="4"/>
      <c r="M152" s="4"/>
      <c r="N152" s="4"/>
      <c r="O152" s="4"/>
      <c r="P152" s="4"/>
      <c r="Q152" s="4"/>
      <c r="R152" s="4"/>
      <c r="S152" s="4"/>
      <c r="T152" s="4"/>
      <c r="U152" s="4"/>
      <c r="V152" s="4"/>
      <c r="W152" s="4"/>
      <c r="AP152" s="4"/>
      <c r="AQ152" s="4"/>
      <c r="AR152" s="4"/>
      <c r="AS152" s="4"/>
      <c r="AT152" s="4"/>
    </row>
    <row r="153" spans="3:46">
      <c r="C153" s="4"/>
      <c r="D153" s="4"/>
      <c r="E153" s="4"/>
      <c r="F153" s="4"/>
      <c r="G153" s="4"/>
      <c r="H153" s="4"/>
      <c r="I153" s="4"/>
      <c r="J153" s="4"/>
      <c r="K153" s="4"/>
      <c r="L153" s="4"/>
      <c r="M153" s="4"/>
      <c r="N153" s="4"/>
      <c r="O153" s="4"/>
      <c r="P153" s="4"/>
      <c r="Q153" s="4"/>
      <c r="R153" s="4"/>
      <c r="S153" s="4"/>
      <c r="T153" s="4"/>
      <c r="U153" s="4"/>
      <c r="V153" s="4"/>
      <c r="W153" s="4"/>
      <c r="AP153" s="4"/>
      <c r="AQ153" s="4"/>
      <c r="AR153" s="4"/>
      <c r="AS153" s="4"/>
      <c r="AT153" s="4"/>
    </row>
    <row r="154" spans="3:46">
      <c r="C154" s="4"/>
      <c r="D154" s="4"/>
      <c r="E154" s="4"/>
      <c r="F154" s="4"/>
      <c r="G154" s="4"/>
      <c r="H154" s="4"/>
      <c r="I154" s="4"/>
      <c r="J154" s="4"/>
      <c r="K154" s="4"/>
      <c r="L154" s="4"/>
      <c r="M154" s="4"/>
      <c r="N154" s="4"/>
      <c r="O154" s="4"/>
      <c r="P154" s="4"/>
      <c r="Q154" s="4"/>
      <c r="R154" s="4"/>
      <c r="S154" s="4"/>
      <c r="T154" s="4"/>
      <c r="U154" s="4"/>
      <c r="V154" s="4"/>
      <c r="W154" s="4"/>
      <c r="AP154" s="4"/>
      <c r="AQ154" s="4"/>
      <c r="AR154" s="4"/>
      <c r="AS154" s="4"/>
      <c r="AT154" s="4"/>
    </row>
    <row r="155" spans="3:46">
      <c r="C155" s="4"/>
      <c r="D155" s="4"/>
      <c r="E155" s="4"/>
      <c r="F155" s="4"/>
      <c r="G155" s="4"/>
      <c r="H155" s="4"/>
      <c r="I155" s="4"/>
      <c r="J155" s="4"/>
      <c r="K155" s="4"/>
      <c r="L155" s="4"/>
      <c r="M155" s="4"/>
      <c r="N155" s="4"/>
      <c r="O155" s="4"/>
      <c r="P155" s="4"/>
      <c r="Q155" s="4"/>
      <c r="R155" s="4"/>
      <c r="S155" s="4"/>
      <c r="T155" s="4"/>
      <c r="U155" s="4"/>
      <c r="V155" s="4"/>
      <c r="W155" s="4"/>
      <c r="AP155" s="4"/>
      <c r="AQ155" s="4"/>
      <c r="AR155" s="4"/>
      <c r="AS155" s="4"/>
      <c r="AT155" s="4"/>
    </row>
    <row r="156" spans="3:46">
      <c r="C156" s="4"/>
      <c r="D156" s="4"/>
      <c r="E156" s="4"/>
      <c r="F156" s="4"/>
      <c r="G156" s="4"/>
      <c r="H156" s="4"/>
      <c r="I156" s="4"/>
      <c r="J156" s="4"/>
      <c r="K156" s="4"/>
      <c r="L156" s="4"/>
      <c r="M156" s="4"/>
      <c r="N156" s="4"/>
      <c r="O156" s="4"/>
      <c r="P156" s="4"/>
      <c r="Q156" s="4"/>
      <c r="R156" s="4"/>
      <c r="S156" s="4"/>
      <c r="T156" s="4"/>
      <c r="U156" s="4"/>
      <c r="V156" s="4"/>
      <c r="W156" s="4"/>
      <c r="AP156" s="4"/>
      <c r="AQ156" s="4"/>
      <c r="AR156" s="4"/>
      <c r="AS156" s="4"/>
      <c r="AT156" s="4"/>
    </row>
    <row r="157" spans="3:46">
      <c r="C157" s="4"/>
      <c r="D157" s="4"/>
      <c r="E157" s="4"/>
      <c r="F157" s="4"/>
      <c r="G157" s="4"/>
      <c r="H157" s="4"/>
      <c r="I157" s="4"/>
      <c r="J157" s="4"/>
      <c r="K157" s="4"/>
      <c r="L157" s="4"/>
      <c r="M157" s="4"/>
      <c r="N157" s="4"/>
      <c r="O157" s="4"/>
      <c r="P157" s="4"/>
      <c r="Q157" s="4"/>
      <c r="R157" s="4"/>
      <c r="S157" s="4"/>
      <c r="T157" s="4"/>
      <c r="U157" s="4"/>
      <c r="V157" s="4"/>
      <c r="W157" s="4"/>
      <c r="AP157" s="4"/>
      <c r="AQ157" s="4"/>
      <c r="AR157" s="4"/>
      <c r="AS157" s="4"/>
      <c r="AT157" s="4"/>
    </row>
    <row r="158" spans="3:46">
      <c r="C158" s="4"/>
      <c r="D158" s="4"/>
      <c r="E158" s="4"/>
      <c r="F158" s="4"/>
      <c r="G158" s="4"/>
      <c r="H158" s="4"/>
      <c r="I158" s="4"/>
      <c r="J158" s="4"/>
      <c r="K158" s="4"/>
      <c r="L158" s="4"/>
      <c r="M158" s="4"/>
      <c r="N158" s="4"/>
      <c r="O158" s="4"/>
      <c r="P158" s="4"/>
      <c r="Q158" s="4"/>
      <c r="R158" s="4"/>
      <c r="S158" s="4"/>
      <c r="T158" s="4"/>
      <c r="U158" s="4"/>
      <c r="V158" s="4"/>
      <c r="W158" s="4"/>
      <c r="AP158" s="4"/>
      <c r="AQ158" s="4"/>
      <c r="AR158" s="4"/>
      <c r="AS158" s="4"/>
      <c r="AT158" s="4"/>
    </row>
    <row r="159" spans="3:46">
      <c r="C159" s="4"/>
      <c r="D159" s="4"/>
      <c r="E159" s="4"/>
      <c r="F159" s="4"/>
      <c r="G159" s="4"/>
      <c r="H159" s="4"/>
      <c r="I159" s="4"/>
      <c r="J159" s="4"/>
      <c r="K159" s="4"/>
      <c r="L159" s="4"/>
      <c r="M159" s="4"/>
      <c r="N159" s="4"/>
      <c r="O159" s="4"/>
      <c r="P159" s="4"/>
      <c r="Q159" s="4"/>
      <c r="R159" s="4"/>
      <c r="S159" s="4"/>
      <c r="T159" s="4"/>
      <c r="U159" s="4"/>
      <c r="V159" s="4"/>
      <c r="W159" s="4"/>
      <c r="AP159" s="4"/>
      <c r="AQ159" s="4"/>
      <c r="AR159" s="4"/>
      <c r="AS159" s="4"/>
      <c r="AT159" s="4"/>
    </row>
    <row r="160" spans="3:46">
      <c r="C160" s="4"/>
      <c r="D160" s="4"/>
      <c r="E160" s="4"/>
      <c r="F160" s="4"/>
      <c r="G160" s="4"/>
      <c r="H160" s="4"/>
      <c r="I160" s="4"/>
      <c r="J160" s="4"/>
      <c r="K160" s="4"/>
      <c r="L160" s="4"/>
      <c r="M160" s="4"/>
      <c r="N160" s="4"/>
      <c r="O160" s="4"/>
      <c r="P160" s="4"/>
      <c r="Q160" s="4"/>
      <c r="R160" s="4"/>
      <c r="S160" s="4"/>
      <c r="T160" s="4"/>
      <c r="U160" s="4"/>
      <c r="V160" s="4"/>
      <c r="W160" s="4"/>
      <c r="AP160" s="4"/>
      <c r="AQ160" s="4"/>
      <c r="AR160" s="4"/>
      <c r="AS160" s="4"/>
      <c r="AT160" s="4"/>
    </row>
    <row r="161" spans="3:46">
      <c r="C161" s="4"/>
      <c r="D161" s="4"/>
      <c r="E161" s="4"/>
      <c r="F161" s="4"/>
      <c r="G161" s="4"/>
      <c r="H161" s="4"/>
      <c r="I161" s="4"/>
      <c r="J161" s="4"/>
      <c r="K161" s="4"/>
      <c r="L161" s="4"/>
      <c r="M161" s="4"/>
      <c r="N161" s="4"/>
      <c r="O161" s="4"/>
      <c r="P161" s="4"/>
      <c r="Q161" s="4"/>
      <c r="R161" s="4"/>
      <c r="S161" s="4"/>
      <c r="T161" s="4"/>
      <c r="U161" s="4"/>
      <c r="V161" s="4"/>
      <c r="W161" s="4"/>
      <c r="AP161" s="4"/>
      <c r="AQ161" s="4"/>
      <c r="AR161" s="4"/>
      <c r="AS161" s="4"/>
      <c r="AT161" s="4"/>
    </row>
    <row r="162" spans="3:46">
      <c r="C162" s="4"/>
      <c r="D162" s="4"/>
      <c r="E162" s="4"/>
      <c r="F162" s="4"/>
      <c r="G162" s="4"/>
      <c r="H162" s="4"/>
      <c r="I162" s="4"/>
      <c r="J162" s="4"/>
      <c r="K162" s="4"/>
      <c r="L162" s="4"/>
      <c r="M162" s="4"/>
      <c r="N162" s="4"/>
      <c r="O162" s="4"/>
      <c r="P162" s="4"/>
      <c r="Q162" s="4"/>
      <c r="R162" s="4"/>
      <c r="S162" s="4"/>
      <c r="T162" s="4"/>
      <c r="U162" s="4"/>
      <c r="V162" s="4"/>
      <c r="W162" s="4"/>
      <c r="AP162" s="4"/>
      <c r="AQ162" s="4"/>
      <c r="AR162" s="4"/>
      <c r="AS162" s="4"/>
      <c r="AT162" s="4"/>
    </row>
    <row r="163" spans="3:46">
      <c r="C163" s="4"/>
      <c r="D163" s="4"/>
      <c r="E163" s="4"/>
      <c r="F163" s="4"/>
      <c r="G163" s="4"/>
      <c r="H163" s="4"/>
      <c r="I163" s="4"/>
      <c r="J163" s="4"/>
      <c r="K163" s="4"/>
      <c r="L163" s="4"/>
      <c r="M163" s="4"/>
      <c r="N163" s="4"/>
      <c r="O163" s="4"/>
      <c r="P163" s="4"/>
      <c r="Q163" s="4"/>
      <c r="R163" s="4"/>
      <c r="S163" s="4"/>
      <c r="T163" s="4"/>
      <c r="U163" s="4"/>
      <c r="V163" s="4"/>
      <c r="W163" s="4"/>
      <c r="AP163" s="4"/>
      <c r="AQ163" s="4"/>
      <c r="AR163" s="4"/>
      <c r="AS163" s="4"/>
      <c r="AT163" s="4"/>
    </row>
    <row r="164" spans="3:46">
      <c r="C164" s="4"/>
      <c r="D164" s="4"/>
      <c r="E164" s="4"/>
      <c r="F164" s="4"/>
      <c r="G164" s="4"/>
      <c r="H164" s="4"/>
      <c r="I164" s="4"/>
      <c r="J164" s="4"/>
      <c r="K164" s="4"/>
      <c r="L164" s="4"/>
      <c r="M164" s="4"/>
      <c r="N164" s="4"/>
      <c r="O164" s="4"/>
      <c r="P164" s="4"/>
      <c r="Q164" s="4"/>
      <c r="R164" s="4"/>
      <c r="S164" s="4"/>
      <c r="T164" s="4"/>
      <c r="U164" s="4"/>
      <c r="V164" s="4"/>
      <c r="W164" s="4"/>
      <c r="AP164" s="4"/>
      <c r="AQ164" s="4"/>
      <c r="AR164" s="4"/>
      <c r="AS164" s="4"/>
      <c r="AT164" s="4"/>
    </row>
    <row r="165" spans="3:46">
      <c r="C165" s="4"/>
      <c r="D165" s="4"/>
      <c r="E165" s="4"/>
      <c r="F165" s="4"/>
      <c r="G165" s="4"/>
      <c r="H165" s="4"/>
      <c r="I165" s="4"/>
      <c r="J165" s="4"/>
      <c r="K165" s="4"/>
      <c r="L165" s="4"/>
      <c r="M165" s="4"/>
      <c r="N165" s="4"/>
      <c r="O165" s="4"/>
      <c r="P165" s="4"/>
      <c r="Q165" s="4"/>
      <c r="R165" s="4"/>
      <c r="S165" s="4"/>
      <c r="T165" s="4"/>
      <c r="U165" s="4"/>
      <c r="V165" s="4"/>
      <c r="W165" s="4"/>
      <c r="AP165" s="4"/>
      <c r="AQ165" s="4"/>
      <c r="AR165" s="4"/>
      <c r="AS165" s="4"/>
      <c r="AT165" s="4"/>
    </row>
    <row r="166" spans="3:46">
      <c r="C166" s="4"/>
      <c r="D166" s="4"/>
      <c r="E166" s="4"/>
      <c r="F166" s="4"/>
      <c r="G166" s="4"/>
      <c r="H166" s="4"/>
      <c r="I166" s="4"/>
      <c r="J166" s="4"/>
      <c r="K166" s="4"/>
      <c r="L166" s="4"/>
      <c r="M166" s="4"/>
      <c r="N166" s="4"/>
      <c r="O166" s="4"/>
      <c r="P166" s="4"/>
      <c r="Q166" s="4"/>
      <c r="R166" s="4"/>
      <c r="S166" s="4"/>
      <c r="T166" s="4"/>
      <c r="U166" s="4"/>
      <c r="V166" s="4"/>
      <c r="W166" s="4"/>
      <c r="AP166" s="4"/>
      <c r="AQ166" s="4"/>
      <c r="AR166" s="4"/>
      <c r="AS166" s="4"/>
      <c r="AT166" s="4"/>
    </row>
    <row r="167" spans="3:46">
      <c r="C167" s="4"/>
      <c r="D167" s="4"/>
      <c r="E167" s="4"/>
      <c r="F167" s="4"/>
      <c r="G167" s="4"/>
      <c r="H167" s="4"/>
      <c r="I167" s="4"/>
      <c r="J167" s="4"/>
      <c r="K167" s="4"/>
      <c r="L167" s="4"/>
      <c r="M167" s="4"/>
      <c r="N167" s="4"/>
      <c r="O167" s="4"/>
      <c r="P167" s="4"/>
      <c r="Q167" s="4"/>
      <c r="R167" s="4"/>
      <c r="S167" s="4"/>
      <c r="T167" s="4"/>
      <c r="U167" s="4"/>
      <c r="V167" s="4"/>
      <c r="W167" s="4"/>
      <c r="AP167" s="4"/>
      <c r="AQ167" s="4"/>
      <c r="AR167" s="4"/>
      <c r="AS167" s="4"/>
      <c r="AT167" s="4"/>
    </row>
    <row r="168" spans="3:46">
      <c r="C168" s="4"/>
      <c r="D168" s="4"/>
      <c r="E168" s="4"/>
      <c r="F168" s="4"/>
      <c r="G168" s="4"/>
      <c r="H168" s="4"/>
      <c r="I168" s="4"/>
      <c r="J168" s="4"/>
      <c r="K168" s="4"/>
      <c r="L168" s="4"/>
      <c r="M168" s="4"/>
      <c r="N168" s="4"/>
      <c r="O168" s="4"/>
      <c r="P168" s="4"/>
      <c r="Q168" s="4"/>
      <c r="R168" s="4"/>
      <c r="S168" s="4"/>
      <c r="T168" s="4"/>
      <c r="U168" s="4"/>
      <c r="V168" s="4"/>
      <c r="W168" s="4"/>
      <c r="AP168" s="4"/>
      <c r="AQ168" s="4"/>
      <c r="AR168" s="4"/>
      <c r="AS168" s="4"/>
      <c r="AT168" s="4"/>
    </row>
    <row r="169" spans="3:46">
      <c r="C169" s="4"/>
      <c r="D169" s="4"/>
      <c r="E169" s="4"/>
      <c r="F169" s="4"/>
      <c r="G169" s="4"/>
      <c r="H169" s="4"/>
      <c r="I169" s="4"/>
      <c r="J169" s="4"/>
      <c r="K169" s="4"/>
      <c r="L169" s="4"/>
      <c r="M169" s="4"/>
      <c r="N169" s="4"/>
      <c r="O169" s="4"/>
      <c r="P169" s="4"/>
      <c r="Q169" s="4"/>
      <c r="R169" s="4"/>
      <c r="S169" s="4"/>
      <c r="T169" s="4"/>
      <c r="U169" s="4"/>
      <c r="V169" s="4"/>
      <c r="W169" s="4"/>
      <c r="AP169" s="4"/>
      <c r="AQ169" s="4"/>
      <c r="AR169" s="4"/>
      <c r="AS169" s="4"/>
      <c r="AT169" s="4"/>
    </row>
    <row r="170" spans="3:46">
      <c r="C170" s="4"/>
      <c r="D170" s="4"/>
      <c r="E170" s="4"/>
      <c r="F170" s="4"/>
      <c r="G170" s="4"/>
      <c r="H170" s="4"/>
      <c r="I170" s="4"/>
      <c r="J170" s="4"/>
      <c r="K170" s="4"/>
      <c r="L170" s="4"/>
      <c r="M170" s="4"/>
      <c r="N170" s="4"/>
      <c r="O170" s="4"/>
      <c r="P170" s="4"/>
      <c r="Q170" s="4"/>
      <c r="R170" s="4"/>
      <c r="S170" s="4"/>
      <c r="T170" s="4"/>
      <c r="U170" s="4"/>
      <c r="V170" s="4"/>
      <c r="W170" s="4"/>
      <c r="AP170" s="4"/>
      <c r="AQ170" s="4"/>
      <c r="AR170" s="4"/>
      <c r="AS170" s="4"/>
      <c r="AT170" s="4"/>
    </row>
    <row r="171" spans="3:46">
      <c r="C171" s="4"/>
      <c r="D171" s="4"/>
      <c r="E171" s="4"/>
      <c r="F171" s="4"/>
      <c r="G171" s="4"/>
      <c r="H171" s="4"/>
      <c r="I171" s="4"/>
      <c r="J171" s="4"/>
      <c r="K171" s="4"/>
      <c r="L171" s="4"/>
      <c r="M171" s="4"/>
      <c r="N171" s="4"/>
      <c r="O171" s="4"/>
      <c r="P171" s="4"/>
      <c r="Q171" s="4"/>
      <c r="R171" s="4"/>
      <c r="S171" s="4"/>
      <c r="T171" s="4"/>
      <c r="U171" s="4"/>
      <c r="V171" s="4"/>
      <c r="W171" s="4"/>
      <c r="AP171" s="4"/>
      <c r="AQ171" s="4"/>
      <c r="AR171" s="4"/>
      <c r="AS171" s="4"/>
      <c r="AT171" s="4"/>
    </row>
    <row r="172" spans="3:46">
      <c r="C172" s="4"/>
      <c r="D172" s="4"/>
      <c r="E172" s="4"/>
      <c r="F172" s="4"/>
      <c r="G172" s="4"/>
      <c r="H172" s="4"/>
      <c r="I172" s="4"/>
      <c r="J172" s="4"/>
      <c r="K172" s="4"/>
      <c r="L172" s="4"/>
      <c r="M172" s="4"/>
      <c r="N172" s="4"/>
      <c r="O172" s="4"/>
      <c r="P172" s="4"/>
      <c r="Q172" s="4"/>
      <c r="R172" s="4"/>
      <c r="S172" s="4"/>
      <c r="T172" s="4"/>
      <c r="U172" s="4"/>
      <c r="V172" s="4"/>
      <c r="W172" s="4"/>
      <c r="AP172" s="4"/>
      <c r="AQ172" s="4"/>
      <c r="AR172" s="4"/>
      <c r="AS172" s="4"/>
      <c r="AT172" s="4"/>
    </row>
    <row r="173" spans="3:46">
      <c r="C173" s="4"/>
      <c r="D173" s="4"/>
      <c r="E173" s="4"/>
      <c r="F173" s="4"/>
      <c r="G173" s="4"/>
      <c r="H173" s="4"/>
      <c r="I173" s="4"/>
      <c r="J173" s="4"/>
      <c r="K173" s="4"/>
      <c r="L173" s="4"/>
      <c r="M173" s="4"/>
      <c r="N173" s="4"/>
      <c r="O173" s="4"/>
      <c r="P173" s="4"/>
      <c r="Q173" s="4"/>
      <c r="R173" s="4"/>
      <c r="S173" s="4"/>
      <c r="T173" s="4"/>
      <c r="U173" s="4"/>
      <c r="V173" s="4"/>
      <c r="W173" s="4"/>
      <c r="AP173" s="4"/>
      <c r="AQ173" s="4"/>
      <c r="AR173" s="4"/>
      <c r="AS173" s="4"/>
      <c r="AT173" s="4"/>
    </row>
    <row r="174" spans="3:46">
      <c r="C174" s="4"/>
      <c r="D174" s="4"/>
      <c r="E174" s="4"/>
      <c r="F174" s="4"/>
      <c r="G174" s="4"/>
      <c r="H174" s="4"/>
      <c r="I174" s="4"/>
      <c r="J174" s="4"/>
      <c r="K174" s="4"/>
      <c r="L174" s="4"/>
      <c r="M174" s="4"/>
      <c r="N174" s="4"/>
      <c r="O174" s="4"/>
      <c r="P174" s="4"/>
      <c r="Q174" s="4"/>
      <c r="R174" s="4"/>
      <c r="S174" s="4"/>
      <c r="T174" s="4"/>
      <c r="U174" s="4"/>
      <c r="V174" s="4"/>
      <c r="W174" s="4"/>
      <c r="AP174" s="4"/>
      <c r="AQ174" s="4"/>
      <c r="AR174" s="4"/>
      <c r="AS174" s="4"/>
      <c r="AT174" s="4"/>
    </row>
    <row r="175" spans="3:46">
      <c r="C175" s="4"/>
      <c r="D175" s="4"/>
      <c r="E175" s="4"/>
      <c r="F175" s="4"/>
      <c r="G175" s="4"/>
      <c r="H175" s="4"/>
      <c r="I175" s="4"/>
      <c r="J175" s="4"/>
      <c r="K175" s="4"/>
      <c r="L175" s="4"/>
      <c r="M175" s="4"/>
      <c r="N175" s="4"/>
      <c r="O175" s="4"/>
      <c r="P175" s="4"/>
      <c r="Q175" s="4"/>
      <c r="R175" s="4"/>
      <c r="S175" s="4"/>
      <c r="T175" s="4"/>
      <c r="U175" s="4"/>
      <c r="V175" s="4"/>
      <c r="W175" s="4"/>
      <c r="AP175" s="4"/>
      <c r="AQ175" s="4"/>
      <c r="AR175" s="4"/>
      <c r="AS175" s="4"/>
      <c r="AT175" s="4"/>
    </row>
    <row r="176" spans="3:46">
      <c r="C176" s="4"/>
      <c r="D176" s="4"/>
      <c r="E176" s="4"/>
      <c r="F176" s="4"/>
      <c r="G176" s="4"/>
      <c r="H176" s="4"/>
      <c r="I176" s="4"/>
      <c r="J176" s="4"/>
      <c r="K176" s="4"/>
      <c r="L176" s="4"/>
      <c r="M176" s="4"/>
      <c r="N176" s="4"/>
      <c r="O176" s="4"/>
      <c r="P176" s="4"/>
      <c r="Q176" s="4"/>
      <c r="R176" s="4"/>
      <c r="S176" s="4"/>
      <c r="T176" s="4"/>
      <c r="U176" s="4"/>
      <c r="V176" s="4"/>
      <c r="W176" s="4"/>
      <c r="AP176" s="4"/>
      <c r="AQ176" s="4"/>
      <c r="AR176" s="4"/>
      <c r="AS176" s="4"/>
      <c r="AT176" s="4"/>
    </row>
    <row r="177" spans="3:46">
      <c r="C177" s="4"/>
      <c r="D177" s="4"/>
      <c r="E177" s="4"/>
      <c r="F177" s="4"/>
      <c r="G177" s="4"/>
      <c r="H177" s="4"/>
      <c r="I177" s="4"/>
      <c r="J177" s="4"/>
      <c r="K177" s="4"/>
      <c r="L177" s="4"/>
      <c r="M177" s="4"/>
      <c r="N177" s="4"/>
      <c r="O177" s="4"/>
      <c r="P177" s="4"/>
      <c r="Q177" s="4"/>
      <c r="R177" s="4"/>
      <c r="S177" s="4"/>
      <c r="T177" s="4"/>
      <c r="U177" s="4"/>
      <c r="V177" s="4"/>
      <c r="W177" s="4"/>
      <c r="AP177" s="4"/>
      <c r="AQ177" s="4"/>
      <c r="AR177" s="4"/>
      <c r="AS177" s="4"/>
      <c r="AT177" s="4"/>
    </row>
    <row r="178" spans="3:46">
      <c r="C178" s="4"/>
      <c r="D178" s="4"/>
      <c r="E178" s="4"/>
      <c r="F178" s="4"/>
      <c r="G178" s="4"/>
      <c r="H178" s="4"/>
      <c r="I178" s="4"/>
      <c r="J178" s="4"/>
      <c r="K178" s="4"/>
      <c r="L178" s="4"/>
      <c r="M178" s="4"/>
      <c r="N178" s="4"/>
      <c r="O178" s="4"/>
      <c r="P178" s="4"/>
      <c r="Q178" s="4"/>
      <c r="R178" s="4"/>
      <c r="S178" s="4"/>
      <c r="T178" s="4"/>
      <c r="U178" s="4"/>
      <c r="V178" s="4"/>
      <c r="W178" s="4"/>
      <c r="AP178" s="4"/>
      <c r="AQ178" s="4"/>
      <c r="AR178" s="4"/>
      <c r="AS178" s="4"/>
      <c r="AT178" s="4"/>
    </row>
    <row r="179" spans="3:46">
      <c r="C179" s="4"/>
      <c r="D179" s="4"/>
      <c r="E179" s="4"/>
      <c r="F179" s="4"/>
      <c r="G179" s="4"/>
      <c r="H179" s="4"/>
      <c r="I179" s="4"/>
      <c r="J179" s="4"/>
      <c r="K179" s="4"/>
      <c r="L179" s="4"/>
      <c r="M179" s="4"/>
      <c r="N179" s="4"/>
      <c r="O179" s="4"/>
      <c r="P179" s="4"/>
      <c r="Q179" s="4"/>
      <c r="R179" s="4"/>
      <c r="S179" s="4"/>
      <c r="T179" s="4"/>
      <c r="U179" s="4"/>
      <c r="V179" s="4"/>
      <c r="W179" s="4"/>
      <c r="AP179" s="4"/>
      <c r="AQ179" s="4"/>
      <c r="AR179" s="4"/>
      <c r="AS179" s="4"/>
      <c r="AT179" s="4"/>
    </row>
    <row r="180" spans="3:46">
      <c r="C180" s="4"/>
      <c r="D180" s="4"/>
      <c r="E180" s="4"/>
      <c r="F180" s="4"/>
      <c r="G180" s="4"/>
      <c r="H180" s="4"/>
      <c r="I180" s="4"/>
      <c r="J180" s="4"/>
      <c r="K180" s="4"/>
      <c r="L180" s="4"/>
      <c r="M180" s="4"/>
      <c r="N180" s="4"/>
      <c r="O180" s="4"/>
      <c r="P180" s="4"/>
      <c r="Q180" s="4"/>
      <c r="R180" s="4"/>
      <c r="S180" s="4"/>
      <c r="T180" s="4"/>
      <c r="U180" s="4"/>
      <c r="V180" s="4"/>
      <c r="W180" s="4"/>
      <c r="AP180" s="4"/>
      <c r="AQ180" s="4"/>
      <c r="AR180" s="4"/>
      <c r="AS180" s="4"/>
      <c r="AT180" s="4"/>
    </row>
    <row r="181" spans="3:46">
      <c r="C181" s="4"/>
      <c r="D181" s="4"/>
      <c r="E181" s="4"/>
      <c r="F181" s="4"/>
      <c r="G181" s="4"/>
      <c r="H181" s="4"/>
      <c r="I181" s="4"/>
      <c r="J181" s="4"/>
      <c r="K181" s="4"/>
      <c r="L181" s="4"/>
      <c r="M181" s="4"/>
      <c r="N181" s="4"/>
      <c r="O181" s="4"/>
      <c r="P181" s="4"/>
      <c r="Q181" s="4"/>
      <c r="R181" s="4"/>
      <c r="S181" s="4"/>
      <c r="T181" s="4"/>
      <c r="U181" s="4"/>
      <c r="V181" s="4"/>
      <c r="W181" s="4"/>
      <c r="AP181" s="4"/>
      <c r="AQ181" s="4"/>
      <c r="AR181" s="4"/>
      <c r="AS181" s="4"/>
      <c r="AT181" s="4"/>
    </row>
    <row r="182" spans="3:46">
      <c r="C182" s="4"/>
      <c r="D182" s="4"/>
      <c r="E182" s="4"/>
      <c r="F182" s="4"/>
      <c r="G182" s="4"/>
      <c r="H182" s="4"/>
      <c r="I182" s="4"/>
      <c r="J182" s="4"/>
      <c r="K182" s="4"/>
      <c r="L182" s="4"/>
      <c r="M182" s="4"/>
      <c r="N182" s="4"/>
      <c r="O182" s="4"/>
      <c r="P182" s="4"/>
      <c r="Q182" s="4"/>
      <c r="R182" s="4"/>
      <c r="S182" s="4"/>
      <c r="T182" s="4"/>
      <c r="U182" s="4"/>
      <c r="V182" s="4"/>
      <c r="W182" s="4"/>
      <c r="AP182" s="4"/>
      <c r="AQ182" s="4"/>
      <c r="AR182" s="4"/>
      <c r="AS182" s="4"/>
      <c r="AT182" s="4"/>
    </row>
    <row r="183" spans="3:46">
      <c r="C183" s="4"/>
      <c r="D183" s="4"/>
      <c r="E183" s="4"/>
      <c r="F183" s="4"/>
      <c r="G183" s="4"/>
      <c r="H183" s="4"/>
      <c r="I183" s="4"/>
      <c r="J183" s="4"/>
      <c r="K183" s="4"/>
      <c r="L183" s="4"/>
      <c r="M183" s="4"/>
      <c r="N183" s="4"/>
      <c r="O183" s="4"/>
      <c r="P183" s="4"/>
      <c r="Q183" s="4"/>
      <c r="R183" s="4"/>
      <c r="S183" s="4"/>
      <c r="T183" s="4"/>
      <c r="U183" s="4"/>
      <c r="V183" s="4"/>
      <c r="W183" s="4"/>
      <c r="AP183" s="4"/>
      <c r="AQ183" s="4"/>
      <c r="AR183" s="4"/>
      <c r="AS183" s="4"/>
      <c r="AT183" s="4"/>
    </row>
    <row r="184" spans="3:46">
      <c r="C184" s="4"/>
      <c r="D184" s="4"/>
      <c r="E184" s="4"/>
      <c r="F184" s="4"/>
      <c r="G184" s="4"/>
      <c r="H184" s="4"/>
      <c r="I184" s="4"/>
      <c r="J184" s="4"/>
      <c r="K184" s="4"/>
      <c r="L184" s="4"/>
      <c r="M184" s="4"/>
      <c r="N184" s="4"/>
      <c r="O184" s="4"/>
      <c r="P184" s="4"/>
      <c r="Q184" s="4"/>
      <c r="R184" s="4"/>
      <c r="S184" s="4"/>
      <c r="T184" s="4"/>
      <c r="U184" s="4"/>
      <c r="V184" s="4"/>
      <c r="W184" s="4"/>
      <c r="AP184" s="4"/>
      <c r="AQ184" s="4"/>
      <c r="AR184" s="4"/>
      <c r="AS184" s="4"/>
      <c r="AT184" s="4"/>
    </row>
    <row r="185" spans="3:46">
      <c r="C185" s="4"/>
      <c r="D185" s="4"/>
      <c r="E185" s="4"/>
      <c r="F185" s="4"/>
      <c r="G185" s="4"/>
      <c r="H185" s="4"/>
      <c r="I185" s="4"/>
      <c r="J185" s="4"/>
      <c r="K185" s="4"/>
      <c r="L185" s="4"/>
      <c r="M185" s="4"/>
      <c r="N185" s="4"/>
      <c r="O185" s="4"/>
      <c r="P185" s="4"/>
      <c r="Q185" s="4"/>
      <c r="R185" s="4"/>
      <c r="S185" s="4"/>
      <c r="T185" s="4"/>
      <c r="U185" s="4"/>
      <c r="V185" s="4"/>
      <c r="W185" s="4"/>
      <c r="AP185" s="4"/>
      <c r="AQ185" s="4"/>
      <c r="AR185" s="4"/>
      <c r="AS185" s="4"/>
      <c r="AT185" s="4"/>
    </row>
    <row r="186" spans="3:46">
      <c r="C186" s="4"/>
      <c r="D186" s="4"/>
      <c r="E186" s="4"/>
      <c r="F186" s="4"/>
      <c r="G186" s="4"/>
      <c r="H186" s="4"/>
      <c r="I186" s="4"/>
      <c r="J186" s="4"/>
      <c r="K186" s="4"/>
      <c r="L186" s="4"/>
      <c r="M186" s="4"/>
      <c r="N186" s="4"/>
      <c r="O186" s="4"/>
      <c r="P186" s="4"/>
      <c r="Q186" s="4"/>
      <c r="R186" s="4"/>
      <c r="S186" s="4"/>
      <c r="T186" s="4"/>
      <c r="U186" s="4"/>
      <c r="V186" s="4"/>
      <c r="W186" s="4"/>
      <c r="AP186" s="4"/>
      <c r="AQ186" s="4"/>
      <c r="AR186" s="4"/>
      <c r="AS186" s="4"/>
      <c r="AT186" s="4"/>
    </row>
    <row r="187" spans="3:46">
      <c r="C187" s="4"/>
      <c r="D187" s="4"/>
      <c r="E187" s="4"/>
      <c r="F187" s="4"/>
      <c r="G187" s="4"/>
      <c r="H187" s="4"/>
      <c r="I187" s="4"/>
      <c r="J187" s="4"/>
      <c r="K187" s="4"/>
      <c r="L187" s="4"/>
      <c r="M187" s="4"/>
      <c r="N187" s="4"/>
      <c r="O187" s="4"/>
      <c r="P187" s="4"/>
      <c r="Q187" s="4"/>
      <c r="R187" s="4"/>
      <c r="S187" s="4"/>
      <c r="T187" s="4"/>
      <c r="U187" s="4"/>
      <c r="V187" s="4"/>
      <c r="W187" s="4"/>
      <c r="AP187" s="4"/>
      <c r="AQ187" s="4"/>
      <c r="AR187" s="4"/>
      <c r="AS187" s="4"/>
      <c r="AT187" s="4"/>
    </row>
    <row r="188" spans="3:46">
      <c r="C188" s="4"/>
      <c r="D188" s="4"/>
      <c r="E188" s="4"/>
      <c r="F188" s="4"/>
      <c r="G188" s="4"/>
      <c r="H188" s="4"/>
      <c r="I188" s="4"/>
      <c r="J188" s="4"/>
      <c r="K188" s="4"/>
      <c r="L188" s="4"/>
      <c r="M188" s="4"/>
      <c r="N188" s="4"/>
      <c r="O188" s="4"/>
      <c r="P188" s="4"/>
      <c r="Q188" s="4"/>
      <c r="R188" s="4"/>
      <c r="S188" s="4"/>
      <c r="T188" s="4"/>
      <c r="U188" s="4"/>
      <c r="V188" s="4"/>
      <c r="W188" s="4"/>
      <c r="AP188" s="4"/>
      <c r="AQ188" s="4"/>
      <c r="AR188" s="4"/>
      <c r="AS188" s="4"/>
      <c r="AT188" s="4"/>
    </row>
    <row r="189" spans="3:46">
      <c r="C189" s="4"/>
      <c r="D189" s="4"/>
      <c r="E189" s="4"/>
      <c r="F189" s="4"/>
      <c r="G189" s="4"/>
      <c r="H189" s="4"/>
      <c r="I189" s="4"/>
      <c r="J189" s="4"/>
      <c r="K189" s="4"/>
      <c r="L189" s="4"/>
      <c r="M189" s="4"/>
      <c r="N189" s="4"/>
      <c r="O189" s="4"/>
      <c r="P189" s="4"/>
      <c r="Q189" s="4"/>
      <c r="R189" s="4"/>
      <c r="S189" s="4"/>
      <c r="T189" s="4"/>
      <c r="U189" s="4"/>
      <c r="V189" s="4"/>
      <c r="W189" s="4"/>
      <c r="AP189" s="4"/>
      <c r="AQ189" s="4"/>
      <c r="AR189" s="4"/>
      <c r="AS189" s="4"/>
      <c r="AT189" s="4"/>
    </row>
    <row r="190" spans="3:46">
      <c r="C190" s="4"/>
      <c r="D190" s="4"/>
      <c r="E190" s="4"/>
      <c r="F190" s="4"/>
      <c r="G190" s="4"/>
      <c r="H190" s="4"/>
      <c r="I190" s="4"/>
      <c r="J190" s="4"/>
      <c r="K190" s="4"/>
      <c r="L190" s="4"/>
      <c r="M190" s="4"/>
      <c r="N190" s="4"/>
      <c r="O190" s="4"/>
      <c r="P190" s="4"/>
      <c r="Q190" s="4"/>
      <c r="R190" s="4"/>
      <c r="S190" s="4"/>
      <c r="T190" s="4"/>
      <c r="U190" s="4"/>
      <c r="V190" s="4"/>
      <c r="W190" s="4"/>
      <c r="AP190" s="4"/>
      <c r="AQ190" s="4"/>
      <c r="AR190" s="4"/>
      <c r="AS190" s="4"/>
      <c r="AT190" s="4"/>
    </row>
    <row r="191" spans="3:46">
      <c r="C191" s="4"/>
      <c r="D191" s="4"/>
      <c r="E191" s="4"/>
      <c r="F191" s="4"/>
      <c r="G191" s="4"/>
      <c r="H191" s="4"/>
      <c r="I191" s="4"/>
      <c r="J191" s="4"/>
      <c r="K191" s="4"/>
      <c r="L191" s="4"/>
      <c r="M191" s="4"/>
      <c r="N191" s="4"/>
      <c r="O191" s="4"/>
      <c r="P191" s="4"/>
      <c r="Q191" s="4"/>
      <c r="R191" s="4"/>
      <c r="S191" s="4"/>
      <c r="T191" s="4"/>
      <c r="U191" s="4"/>
      <c r="V191" s="4"/>
      <c r="W191" s="4"/>
      <c r="AP191" s="4"/>
      <c r="AQ191" s="4"/>
      <c r="AR191" s="4"/>
      <c r="AS191" s="4"/>
      <c r="AT191" s="4"/>
    </row>
    <row r="192" spans="3:46">
      <c r="C192" s="4"/>
      <c r="D192" s="4"/>
      <c r="E192" s="4"/>
      <c r="F192" s="4"/>
      <c r="G192" s="4"/>
      <c r="H192" s="4"/>
      <c r="I192" s="4"/>
      <c r="J192" s="4"/>
      <c r="K192" s="4"/>
      <c r="L192" s="4"/>
      <c r="M192" s="4"/>
      <c r="N192" s="4"/>
      <c r="O192" s="4"/>
      <c r="P192" s="4"/>
      <c r="Q192" s="4"/>
      <c r="R192" s="4"/>
      <c r="S192" s="4"/>
      <c r="T192" s="4"/>
      <c r="U192" s="4"/>
      <c r="V192" s="4"/>
      <c r="W192" s="4"/>
      <c r="AP192" s="4"/>
      <c r="AQ192" s="4"/>
      <c r="AR192" s="4"/>
      <c r="AS192" s="4"/>
      <c r="AT192" s="4"/>
    </row>
    <row r="193" spans="3:46">
      <c r="C193" s="4"/>
      <c r="D193" s="4"/>
      <c r="E193" s="4"/>
      <c r="F193" s="4"/>
      <c r="G193" s="4"/>
      <c r="H193" s="4"/>
      <c r="I193" s="4"/>
      <c r="J193" s="4"/>
      <c r="K193" s="4"/>
      <c r="L193" s="4"/>
      <c r="M193" s="4"/>
      <c r="N193" s="4"/>
      <c r="O193" s="4"/>
      <c r="P193" s="4"/>
      <c r="Q193" s="4"/>
      <c r="R193" s="4"/>
      <c r="S193" s="4"/>
      <c r="T193" s="4"/>
      <c r="U193" s="4"/>
      <c r="V193" s="4"/>
      <c r="W193" s="4"/>
      <c r="AP193" s="4"/>
      <c r="AQ193" s="4"/>
      <c r="AR193" s="4"/>
      <c r="AS193" s="4"/>
      <c r="AT193" s="4"/>
    </row>
    <row r="194" spans="3:46">
      <c r="C194" s="4"/>
      <c r="D194" s="4"/>
      <c r="E194" s="4"/>
      <c r="F194" s="4"/>
      <c r="G194" s="4"/>
      <c r="H194" s="4"/>
      <c r="I194" s="4"/>
      <c r="J194" s="4"/>
      <c r="K194" s="4"/>
      <c r="L194" s="4"/>
      <c r="M194" s="4"/>
      <c r="N194" s="4"/>
      <c r="O194" s="4"/>
      <c r="P194" s="4"/>
      <c r="Q194" s="4"/>
      <c r="R194" s="4"/>
      <c r="S194" s="4"/>
      <c r="T194" s="4"/>
      <c r="U194" s="4"/>
      <c r="V194" s="4"/>
      <c r="W194" s="4"/>
      <c r="AP194" s="4"/>
      <c r="AQ194" s="4"/>
      <c r="AR194" s="4"/>
      <c r="AS194" s="4"/>
      <c r="AT194" s="4"/>
    </row>
  </sheetData>
  <sheetProtection sheet="1" objects="1" scenarios="1" selectLockedCells="1"/>
  <mergeCells count="19">
    <mergeCell ref="C14:D14"/>
    <mergeCell ref="B3:D3"/>
    <mergeCell ref="D32:H32"/>
    <mergeCell ref="C4:D4"/>
    <mergeCell ref="C5:D5"/>
    <mergeCell ref="C6:D6"/>
    <mergeCell ref="C7:D7"/>
    <mergeCell ref="C9:D9"/>
    <mergeCell ref="C10:D10"/>
    <mergeCell ref="D33:H33"/>
    <mergeCell ref="K15:Q15"/>
    <mergeCell ref="K32:P32"/>
    <mergeCell ref="K33:P33"/>
    <mergeCell ref="B12:B13"/>
    <mergeCell ref="C8:E8"/>
    <mergeCell ref="B4:B11"/>
    <mergeCell ref="C11:D11"/>
    <mergeCell ref="C12:D12"/>
    <mergeCell ref="C13:D13"/>
  </mergeCells>
  <phoneticPr fontId="0" type="noConversion"/>
  <conditionalFormatting sqref="K32:P33">
    <cfRule type="expression" dxfId="1" priority="19" stopIfTrue="1">
      <formula>$I$29=TRUE</formula>
    </cfRule>
  </conditionalFormatting>
  <conditionalFormatting sqref="K15:Q15">
    <cfRule type="expression" dxfId="0" priority="20" stopIfTrue="1">
      <formula>$J$29=TRUE</formula>
    </cfRule>
  </conditionalFormatting>
  <dataValidations xWindow="278" yWindow="374" count="2">
    <dataValidation type="decimal" errorStyle="warning" allowBlank="1" showInputMessage="1" showErrorMessage="1" error="Outside Range" sqref="E7">
      <formula1>H37</formula1>
      <formula2>#REF!</formula2>
    </dataValidation>
    <dataValidation type="decimal" allowBlank="1" showInputMessage="1" showErrorMessage="1" error="0 - 180 degrees" prompt="0 - 180 degrees" sqref="E12:E13">
      <formula1>0</formula1>
      <formula2>180</formula2>
    </dataValidation>
  </dataValidations>
  <pageMargins left="0.75" right="0.75" top="1" bottom="1" header="0.5" footer="0.5"/>
  <pageSetup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sheetPr codeName="Sheet3"/>
  <dimension ref="A1:AZ107"/>
  <sheetViews>
    <sheetView workbookViewId="0">
      <pane xSplit="2" ySplit="3" topLeftCell="C26" activePane="bottomRight" state="frozen"/>
      <selection pane="topRight" activeCell="C1" sqref="C1"/>
      <selection pane="bottomLeft" activeCell="A4" sqref="A4"/>
      <selection pane="bottomRight" activeCell="P7" sqref="P7"/>
    </sheetView>
  </sheetViews>
  <sheetFormatPr defaultRowHeight="12.75"/>
  <cols>
    <col min="1" max="1" width="2.28515625" style="81" customWidth="1"/>
    <col min="2" max="2" width="7.28515625" style="81" customWidth="1"/>
    <col min="3" max="3" width="9.42578125" style="81" customWidth="1"/>
    <col min="4" max="5" width="6.28515625" style="81" customWidth="1"/>
    <col min="6" max="6" width="6.140625" style="81" bestFit="1" customWidth="1"/>
    <col min="7" max="7" width="7.28515625" style="81" bestFit="1" customWidth="1"/>
    <col min="8" max="8" width="6.5703125" style="81" bestFit="1" customWidth="1"/>
    <col min="9" max="9" width="5.140625" style="81" bestFit="1" customWidth="1"/>
    <col min="10" max="10" width="5.7109375" style="81" bestFit="1" customWidth="1"/>
    <col min="11" max="11" width="5.140625" style="81" bestFit="1" customWidth="1"/>
    <col min="12" max="14" width="5.7109375" style="81" bestFit="1" customWidth="1"/>
    <col min="15" max="15" width="5.140625" style="81" bestFit="1" customWidth="1"/>
    <col min="16" max="16" width="5.7109375" style="81" bestFit="1" customWidth="1"/>
    <col min="17" max="18" width="7.5703125" style="81" bestFit="1" customWidth="1"/>
    <col min="19" max="19" width="5.7109375" style="81" bestFit="1" customWidth="1"/>
    <col min="20" max="20" width="5.140625" style="81" bestFit="1" customWidth="1"/>
    <col min="21" max="22" width="5.7109375" style="81" bestFit="1" customWidth="1"/>
    <col min="23" max="23" width="5.5703125" style="81" bestFit="1" customWidth="1"/>
    <col min="24" max="24" width="5.7109375" style="81" customWidth="1"/>
    <col min="25" max="25" width="5.28515625" style="81" bestFit="1" customWidth="1"/>
    <col min="26" max="26" width="7.5703125" style="81" bestFit="1" customWidth="1"/>
    <col min="27" max="27" width="6.42578125" style="81" bestFit="1" customWidth="1"/>
    <col min="28" max="28" width="6.85546875" style="81" bestFit="1" customWidth="1"/>
    <col min="29" max="29" width="7.42578125" style="81" bestFit="1" customWidth="1"/>
    <col min="30" max="30" width="7.5703125" style="81" bestFit="1" customWidth="1"/>
    <col min="31" max="31" width="7.7109375" style="81" customWidth="1"/>
    <col min="32" max="32" width="5.7109375" style="81" customWidth="1"/>
    <col min="33" max="33" width="5.42578125" style="81" customWidth="1"/>
    <col min="34" max="34" width="2.85546875" style="93" customWidth="1"/>
    <col min="35" max="35" width="2.28515625" style="93" bestFit="1" customWidth="1"/>
    <col min="36" max="37" width="5.5703125" style="81" customWidth="1"/>
    <col min="38" max="38" width="5.85546875" style="81" customWidth="1"/>
    <col min="39" max="39" width="6.28515625" style="81" customWidth="1"/>
    <col min="40" max="41" width="6.7109375" style="81" bestFit="1" customWidth="1"/>
    <col min="42" max="42" width="6.28515625" style="81" customWidth="1"/>
    <col min="43" max="43" width="6.42578125" style="81" customWidth="1"/>
    <col min="44" max="44" width="8.28515625" style="81" customWidth="1"/>
    <col min="45" max="45" width="7.85546875" style="81" customWidth="1"/>
    <col min="46" max="46" width="5.7109375" style="81" customWidth="1"/>
    <col min="47" max="47" width="6.5703125" style="81" customWidth="1"/>
    <col min="48" max="48" width="6.28515625" style="81" customWidth="1"/>
    <col min="49" max="49" width="5.7109375" style="81" bestFit="1" customWidth="1"/>
    <col min="50" max="16384" width="9.140625" style="81"/>
  </cols>
  <sheetData>
    <row r="1" spans="1:49" ht="13.15" customHeight="1">
      <c r="A1" s="55"/>
      <c r="B1" s="56" t="s">
        <v>81</v>
      </c>
      <c r="C1" s="57">
        <f>((omegafinish-0.01)*PI()/180-(omegastart+0.01)*PI()/180)/100</f>
        <v>2.2685789617422302E-2</v>
      </c>
      <c r="D1" s="58" t="s">
        <v>47</v>
      </c>
      <c r="E1" s="59"/>
      <c r="F1" s="57"/>
      <c r="G1" s="57"/>
      <c r="H1" s="57"/>
      <c r="I1" s="57"/>
      <c r="J1" s="60"/>
      <c r="K1" s="57"/>
      <c r="L1" s="57"/>
      <c r="M1" s="57"/>
      <c r="N1" s="61"/>
      <c r="O1" s="57"/>
      <c r="P1" s="57"/>
      <c r="Q1" s="61"/>
      <c r="R1" s="61"/>
      <c r="S1" s="57"/>
      <c r="T1" s="57"/>
      <c r="U1" s="57"/>
      <c r="V1" s="57"/>
      <c r="W1" s="57"/>
      <c r="X1" s="62"/>
      <c r="Y1" s="158" t="s">
        <v>83</v>
      </c>
      <c r="Z1" s="159"/>
      <c r="AA1" s="159"/>
      <c r="AB1" s="159"/>
      <c r="AC1" s="160"/>
      <c r="AD1" s="164" t="s">
        <v>98</v>
      </c>
      <c r="AE1" s="85"/>
      <c r="AF1" s="85"/>
      <c r="AG1" s="57"/>
      <c r="AH1" s="56"/>
      <c r="AI1" s="56"/>
      <c r="AJ1" s="57"/>
      <c r="AK1" s="57"/>
      <c r="AL1" s="57"/>
      <c r="AM1" s="57"/>
      <c r="AN1" s="57"/>
      <c r="AO1" s="57"/>
      <c r="AP1" s="57"/>
      <c r="AQ1" s="57"/>
      <c r="AR1" s="61"/>
      <c r="AS1" s="61"/>
      <c r="AT1" s="57"/>
      <c r="AU1" s="57"/>
      <c r="AV1" s="57"/>
      <c r="AW1" s="57"/>
    </row>
    <row r="2" spans="1:49">
      <c r="A2" s="55"/>
      <c r="B2" s="56" t="s">
        <v>80</v>
      </c>
      <c r="C2" s="63">
        <v>9.9999999999999995E-7</v>
      </c>
      <c r="D2" s="64" t="s">
        <v>37</v>
      </c>
      <c r="E2" s="65">
        <v>9.9999999999999995E-7</v>
      </c>
      <c r="F2" s="57"/>
      <c r="G2" s="57"/>
      <c r="H2" s="61"/>
      <c r="I2" s="57"/>
      <c r="J2" s="57"/>
      <c r="K2" s="66"/>
      <c r="L2" s="66"/>
      <c r="M2" s="57"/>
      <c r="N2" s="61"/>
      <c r="O2" s="57"/>
      <c r="P2" s="57"/>
      <c r="Q2" s="61"/>
      <c r="R2" s="61"/>
      <c r="S2" s="57"/>
      <c r="T2" s="57"/>
      <c r="U2" s="57"/>
      <c r="V2" s="57"/>
      <c r="W2" s="57"/>
      <c r="X2" s="57"/>
      <c r="Y2" s="161"/>
      <c r="Z2" s="162"/>
      <c r="AA2" s="162"/>
      <c r="AB2" s="162"/>
      <c r="AC2" s="163"/>
      <c r="AD2" s="165"/>
      <c r="AE2" s="63"/>
      <c r="AF2" s="85"/>
      <c r="AG2" s="85"/>
      <c r="AH2" s="85"/>
      <c r="AI2" s="85"/>
      <c r="AJ2" s="85"/>
      <c r="AK2" s="85"/>
      <c r="AL2" s="86"/>
      <c r="AM2" s="86"/>
      <c r="AN2" s="86"/>
      <c r="AO2" s="85"/>
      <c r="AP2" s="85"/>
      <c r="AQ2" s="85"/>
      <c r="AR2" s="85"/>
      <c r="AS2" s="85"/>
      <c r="AT2" s="85"/>
      <c r="AU2" s="85"/>
      <c r="AV2" s="85"/>
      <c r="AW2" s="85"/>
    </row>
    <row r="3" spans="1:49">
      <c r="A3" s="55"/>
      <c r="B3" s="56" t="s">
        <v>20</v>
      </c>
      <c r="C3" s="56" t="s">
        <v>19</v>
      </c>
      <c r="D3" s="56" t="s">
        <v>21</v>
      </c>
      <c r="E3" s="67" t="s">
        <v>15</v>
      </c>
      <c r="F3" s="67" t="s">
        <v>16</v>
      </c>
      <c r="G3" s="67" t="s">
        <v>17</v>
      </c>
      <c r="H3" s="67" t="s">
        <v>18</v>
      </c>
      <c r="I3" s="56" t="s">
        <v>0</v>
      </c>
      <c r="J3" s="67" t="s">
        <v>1</v>
      </c>
      <c r="K3" s="56" t="s">
        <v>2</v>
      </c>
      <c r="L3" s="56" t="s">
        <v>7</v>
      </c>
      <c r="M3" s="56" t="s">
        <v>4</v>
      </c>
      <c r="N3" s="68" t="s">
        <v>5</v>
      </c>
      <c r="O3" s="56" t="s">
        <v>3</v>
      </c>
      <c r="P3" s="56" t="s">
        <v>6</v>
      </c>
      <c r="Q3" s="68" t="s">
        <v>8</v>
      </c>
      <c r="R3" s="68" t="s">
        <v>9</v>
      </c>
      <c r="S3" s="67" t="s">
        <v>11</v>
      </c>
      <c r="T3" s="56" t="s">
        <v>12</v>
      </c>
      <c r="U3" s="67" t="s">
        <v>13</v>
      </c>
      <c r="V3" s="56" t="s">
        <v>14</v>
      </c>
      <c r="W3" s="56" t="s">
        <v>79</v>
      </c>
      <c r="X3" s="69"/>
      <c r="Y3" s="82" t="s">
        <v>76</v>
      </c>
      <c r="Z3" s="83" t="s">
        <v>78</v>
      </c>
      <c r="AA3" s="83" t="s">
        <v>21</v>
      </c>
      <c r="AB3" s="83" t="s">
        <v>75</v>
      </c>
      <c r="AC3" s="84" t="s">
        <v>82</v>
      </c>
      <c r="AD3" s="117" t="s">
        <v>97</v>
      </c>
      <c r="AE3" s="56" t="s">
        <v>84</v>
      </c>
      <c r="AF3" s="67" t="s">
        <v>15</v>
      </c>
      <c r="AG3" s="67" t="s">
        <v>16</v>
      </c>
      <c r="AH3" s="67" t="s">
        <v>17</v>
      </c>
      <c r="AI3" s="67" t="s">
        <v>18</v>
      </c>
      <c r="AJ3" s="56" t="s">
        <v>0</v>
      </c>
      <c r="AK3" s="67" t="s">
        <v>1</v>
      </c>
      <c r="AL3" s="56" t="s">
        <v>2</v>
      </c>
      <c r="AM3" s="56" t="s">
        <v>7</v>
      </c>
      <c r="AN3" s="56" t="s">
        <v>4</v>
      </c>
      <c r="AO3" s="56" t="s">
        <v>5</v>
      </c>
      <c r="AP3" s="56" t="s">
        <v>3</v>
      </c>
      <c r="AQ3" s="56" t="s">
        <v>6</v>
      </c>
      <c r="AR3" s="68" t="s">
        <v>8</v>
      </c>
      <c r="AS3" s="68" t="s">
        <v>9</v>
      </c>
      <c r="AT3" s="67" t="s">
        <v>11</v>
      </c>
      <c r="AU3" s="56" t="s">
        <v>12</v>
      </c>
      <c r="AV3" s="67" t="s">
        <v>13</v>
      </c>
      <c r="AW3" s="56" t="s">
        <v>14</v>
      </c>
    </row>
    <row r="4" spans="1:49" ht="13.15" customHeight="1">
      <c r="A4" s="157" t="s">
        <v>48</v>
      </c>
      <c r="B4" s="57">
        <v>1</v>
      </c>
      <c r="C4" s="70">
        <f>(omegastart+0.001)*PI()/180</f>
        <v>0.17455037849195287</v>
      </c>
      <c r="D4" s="71">
        <f>C4*180/PI()</f>
        <v>10.000999999999998</v>
      </c>
      <c r="E4" s="72">
        <f t="shared" ref="E4:E35" si="0">U4*COS(C4+V4)+a</f>
        <v>-0.28636654147306917</v>
      </c>
      <c r="F4" s="70">
        <f t="shared" ref="F4:F35" si="1">U4*SIN(C4+V4)</f>
        <v>5.5292731873944269E-2</v>
      </c>
      <c r="G4" s="73">
        <f t="shared" ref="G4:G35" si="2">AF4-E4</f>
        <v>-3.2037763553205423E-7</v>
      </c>
      <c r="H4" s="73">
        <f t="shared" ref="H4:H35" si="3">AG4-F4</f>
        <v>9.1433090022852159E-7</v>
      </c>
      <c r="I4" s="70">
        <f t="shared" ref="I4:I35" si="4">PI()-C4</f>
        <v>2.9670422750978402</v>
      </c>
      <c r="J4" s="70">
        <f t="shared" ref="J4:J35" si="5">SQRT(a^2+b^2-2*a*b*COS(I4))</f>
        <v>7.7766461310636199</v>
      </c>
      <c r="K4" s="70">
        <f t="shared" ref="K4:K35" si="6">ACOS((a^2+J4^2-b^2)/(2*a*J4))</f>
        <v>4.6913678849516582E-2</v>
      </c>
      <c r="L4" s="70">
        <f t="shared" ref="L4:L35" si="7">ACOS((d^2+J4^2-cc^2)/(2*d*J4))</f>
        <v>0.26918000993104685</v>
      </c>
      <c r="M4" s="70">
        <f t="shared" ref="M4:M35" si="8">PI()-K4-L4</f>
        <v>2.8254989648092295</v>
      </c>
      <c r="N4" s="70">
        <f t="shared" ref="N4:N67" si="9">IF(ABS(PI()-M4-C4)&lt;0.0000000001,0.0000000001,PI()-M4-C4)</f>
        <v>0.14154331028861078</v>
      </c>
      <c r="O4" s="70">
        <f t="shared" ref="O4:O35" si="10">ACOS((b^2+J4^2-a^2)/(2*b*J4))</f>
        <v>0.1276366996424394</v>
      </c>
      <c r="P4" s="70">
        <f t="shared" ref="P4:P35" si="11">ACOS((cc^2+J4^2-d^2)/(2*cc*J4))</f>
        <v>0.20834712215858886</v>
      </c>
      <c r="Q4" s="73">
        <f t="shared" ref="Q4:Q35" si="12">a*SIN(C4)/SIN(N4)</f>
        <v>7.0169735347205746</v>
      </c>
      <c r="R4" s="73">
        <f t="shared" ref="R4:R35" si="13">a*SIN(M4)/SIN(N4)</f>
        <v>12.560186917381822</v>
      </c>
      <c r="S4" s="70">
        <f t="shared" ref="S4:S35" si="14">SQRT(rr^2+s^2)</f>
        <v>8.0603970125546542</v>
      </c>
      <c r="T4" s="70">
        <f t="shared" ref="T4:T35" si="15">ASIN(s/S4)</f>
        <v>-0.19982864507299022</v>
      </c>
      <c r="U4" s="70">
        <f t="shared" ref="U4:U35" si="16">SQRT(S4^2+b^2-2*S4*b*COS(T4+P4+O4))</f>
        <v>5.9866218901034935</v>
      </c>
      <c r="V4" s="72">
        <f t="shared" ref="V4:V35" si="17">ACOS((b^2+U4^2-S4^2)/(2*b*U4))*IF(O4+P4+T4&gt;PI(),-1,1)</f>
        <v>2.957806094988281</v>
      </c>
      <c r="W4" s="74">
        <f>(O4+P4)*180/PI()</f>
        <v>19.250454973874458</v>
      </c>
      <c r="X4" s="75"/>
      <c r="Y4" s="39">
        <f>AL4+AM4</f>
        <v>0.31609411921095898</v>
      </c>
      <c r="Z4" s="40">
        <f t="shared" ref="Z4:Z67" si="18">IF(ISNA(AA4),0,AA4)</f>
        <v>18.110858959693065</v>
      </c>
      <c r="AA4" s="41">
        <f>IF(W4&lt;165,Y4*180/PI(),NA())</f>
        <v>18.110858959693065</v>
      </c>
      <c r="AB4" s="42">
        <f>IF(W4&lt;165,(AL4+AM4)-(K4+L4),NA())</f>
        <v>4.3043039554824247E-7</v>
      </c>
      <c r="AC4" s="43">
        <f>(Fx*G4+Fy*H4)/Data!AB4</f>
        <v>94.209384241307006</v>
      </c>
      <c r="AD4" s="118">
        <f>IF(W4&lt;165,AE4*180/PI(),0)</f>
        <v>10.001057295779512</v>
      </c>
      <c r="AE4" s="85">
        <f t="shared" ref="AE4:AE35" si="19">C4+domega</f>
        <v>0.17455137849195287</v>
      </c>
      <c r="AF4" s="72">
        <f t="shared" ref="AF4:AF35" si="20">AV4*COS(AE4+AW4)+a</f>
        <v>-0.2863668618507047</v>
      </c>
      <c r="AG4" s="75">
        <f t="shared" ref="AG4:AG35" si="21">AV4*SIN(AE4+AW4)</f>
        <v>5.5293646204844497E-2</v>
      </c>
      <c r="AH4" s="87" t="s">
        <v>36</v>
      </c>
      <c r="AI4" s="87" t="s">
        <v>36</v>
      </c>
      <c r="AJ4" s="75">
        <f t="shared" ref="AJ4:AJ35" si="22">PI()-AE4</f>
        <v>2.9670412750978401</v>
      </c>
      <c r="AK4" s="75">
        <f t="shared" ref="AK4:AK35" si="23">SQRT(a^2+b^2-2*a*b*COS(AJ4))</f>
        <v>7.7766458637529672</v>
      </c>
      <c r="AL4" s="75">
        <f t="shared" ref="AL4:AL35" si="24">ACOS((a^2+AK4^2-b^2)/(2*a*AK4))</f>
        <v>4.6913946692157316E-2</v>
      </c>
      <c r="AM4" s="75">
        <f t="shared" ref="AM4:AM35" si="25">ACOS((d^2+AK4^2-cc^2)/(2*d*AK4))</f>
        <v>0.26918017251880166</v>
      </c>
      <c r="AN4" s="75">
        <f t="shared" ref="AN4:AN35" si="26">PI()-AL4-AM4</f>
        <v>2.8254985343788341</v>
      </c>
      <c r="AO4" s="75">
        <f t="shared" ref="AO4:AO35" si="27">IF(ABS(PI()-AN4-AE4)&lt;0.0000000001,0.0000000001,PI()-AN4-AE4)</f>
        <v>0.1415427407190061</v>
      </c>
      <c r="AP4" s="75">
        <f t="shared" ref="AP4:AP35" si="28">ACOS((b^2+AK4^2-a^2)/(2*b*AK4))</f>
        <v>0.12763743179979303</v>
      </c>
      <c r="AQ4" s="75">
        <f t="shared" ref="AQ4:AQ35" si="29">ACOS((cc^2+AK4^2-d^2)/(2*cc*AK4))</f>
        <v>0.20834724675645533</v>
      </c>
      <c r="AR4" s="88">
        <f t="shared" ref="AR4:AR35" si="30">a*SIN(AE4)/SIN(AO4)</f>
        <v>7.0170413736117707</v>
      </c>
      <c r="AS4" s="88">
        <f t="shared" ref="AS4:AS35" si="31">a*SIN(AN4)/SIN(AO4)</f>
        <v>12.560253651769049</v>
      </c>
      <c r="AT4" s="75">
        <f t="shared" ref="AT4:AT35" si="32">SQRT(rr^2+s^2)</f>
        <v>8.0603970125546542</v>
      </c>
      <c r="AU4" s="75">
        <f t="shared" ref="AU4:AU35" si="33">ASIN(s/AT4)</f>
        <v>-0.19982864507299022</v>
      </c>
      <c r="AV4" s="75">
        <f t="shared" ref="AV4:AV35" si="34">SQRT(AT4^2+b^2-2*AT4*b*COS(AU4+AQ4+AP4))</f>
        <v>5.9866222189123377</v>
      </c>
      <c r="AW4" s="72">
        <f t="shared" ref="AW4:AW35" si="35">ACOS((b^2+AV4^2-AT4^2)/(2*b*AV4))*IF(AP4+AQ4+AU4&gt;PI(),-1,1)</f>
        <v>2.9578049427600552</v>
      </c>
    </row>
    <row r="5" spans="1:49">
      <c r="A5" s="157"/>
      <c r="B5" s="57">
        <f t="shared" ref="B5:B36" si="36">B4+1</f>
        <v>2</v>
      </c>
      <c r="C5" s="70">
        <f t="shared" ref="C5:C36" si="37">C4+omegainc</f>
        <v>0.19723616810937517</v>
      </c>
      <c r="D5" s="71">
        <f t="shared" ref="D5:D35" si="38">C5*180/PI()</f>
        <v>11.300799999999999</v>
      </c>
      <c r="E5" s="72">
        <f t="shared" si="0"/>
        <v>-0.29417890877205632</v>
      </c>
      <c r="F5" s="70">
        <f t="shared" si="1"/>
        <v>7.7272527089767465E-2</v>
      </c>
      <c r="G5" s="73">
        <f t="shared" si="2"/>
        <v>-3.6848544304746156E-7</v>
      </c>
      <c r="H5" s="73">
        <f t="shared" si="3"/>
        <v>1.0224646249945568E-6</v>
      </c>
      <c r="I5" s="70">
        <f t="shared" si="4"/>
        <v>2.9443564854804181</v>
      </c>
      <c r="J5" s="70">
        <f t="shared" si="5"/>
        <v>7.7701897933892088</v>
      </c>
      <c r="K5" s="70">
        <f t="shared" si="6"/>
        <v>5.2985613397152909E-2</v>
      </c>
      <c r="L5" s="70">
        <f t="shared" si="7"/>
        <v>0.27307981023354166</v>
      </c>
      <c r="M5" s="70">
        <f t="shared" si="8"/>
        <v>2.8155272299590983</v>
      </c>
      <c r="N5" s="70">
        <f t="shared" si="9"/>
        <v>0.12882925552131963</v>
      </c>
      <c r="O5" s="70">
        <f t="shared" si="10"/>
        <v>0.14425055471222059</v>
      </c>
      <c r="P5" s="70">
        <f t="shared" si="11"/>
        <v>0.2113350368784086</v>
      </c>
      <c r="Q5" s="73">
        <f t="shared" si="12"/>
        <v>8.6941958855589725</v>
      </c>
      <c r="R5" s="73">
        <f t="shared" si="13"/>
        <v>14.211634891364884</v>
      </c>
      <c r="S5" s="70">
        <f t="shared" si="14"/>
        <v>8.0603970125546542</v>
      </c>
      <c r="T5" s="70">
        <f t="shared" si="15"/>
        <v>-0.19982864507299022</v>
      </c>
      <c r="U5" s="70">
        <f t="shared" si="16"/>
        <v>5.9946769582530974</v>
      </c>
      <c r="V5" s="72">
        <f t="shared" si="17"/>
        <v>2.9314659381359602</v>
      </c>
      <c r="W5" s="74">
        <f t="shared" ref="W5:W68" si="39">(O5+P5)*180/PI()</f>
        <v>20.373553653805629</v>
      </c>
      <c r="X5" s="75"/>
      <c r="Y5" s="44">
        <f t="shared" ref="Y5:Y68" si="40">AL5+AM5</f>
        <v>0.32606587217702021</v>
      </c>
      <c r="Z5" s="45">
        <f t="shared" si="18"/>
        <v>18.682198318995432</v>
      </c>
      <c r="AA5" s="46">
        <f t="shared" ref="AA5:AA68" si="41">IF(W5&lt;165,Y5*180/PI(),NA())</f>
        <v>18.682198318995432</v>
      </c>
      <c r="AB5" s="47">
        <f t="shared" ref="AB5:AB68" si="42">IF(W5&lt;165,(AL5+AM5)-(K5+L5),NA())</f>
        <v>4.4854632563762209E-7</v>
      </c>
      <c r="AC5" s="48">
        <f>(Fx*G5+Fy*H5)/Data!AB5</f>
        <v>100.90627899015128</v>
      </c>
      <c r="AD5" s="118">
        <f t="shared" ref="AD5:AD68" si="43">IF(W5&lt;165,AE5*180/PI(),0)</f>
        <v>11.300857295779513</v>
      </c>
      <c r="AE5" s="85">
        <f t="shared" si="19"/>
        <v>0.19723716810937517</v>
      </c>
      <c r="AF5" s="72">
        <f t="shared" si="20"/>
        <v>-0.29417927725749937</v>
      </c>
      <c r="AG5" s="75">
        <f t="shared" si="21"/>
        <v>7.7273549554392459E-2</v>
      </c>
      <c r="AH5" s="87" t="s">
        <v>36</v>
      </c>
      <c r="AI5" s="87" t="s">
        <v>36</v>
      </c>
      <c r="AJ5" s="75">
        <f t="shared" si="22"/>
        <v>2.9443554854804179</v>
      </c>
      <c r="AK5" s="75">
        <f t="shared" si="23"/>
        <v>7.7701894915117489</v>
      </c>
      <c r="AL5" s="75">
        <f t="shared" si="24"/>
        <v>5.2985880853832601E-2</v>
      </c>
      <c r="AM5" s="75">
        <f t="shared" si="25"/>
        <v>0.27307999132318761</v>
      </c>
      <c r="AN5" s="75">
        <f t="shared" si="26"/>
        <v>2.8155267814127729</v>
      </c>
      <c r="AO5" s="75">
        <f t="shared" si="27"/>
        <v>0.12882870406764504</v>
      </c>
      <c r="AP5" s="75">
        <f t="shared" si="28"/>
        <v>0.14425128725554415</v>
      </c>
      <c r="AQ5" s="75">
        <f t="shared" si="29"/>
        <v>0.21133517559294002</v>
      </c>
      <c r="AR5" s="88">
        <f t="shared" si="30"/>
        <v>8.6942764023293453</v>
      </c>
      <c r="AS5" s="88">
        <f t="shared" si="31"/>
        <v>14.211714239879711</v>
      </c>
      <c r="AT5" s="75">
        <f t="shared" si="32"/>
        <v>8.0603970125546542</v>
      </c>
      <c r="AU5" s="75">
        <f t="shared" si="33"/>
        <v>-0.19982864507299022</v>
      </c>
      <c r="AV5" s="75">
        <f t="shared" si="34"/>
        <v>5.9946773398877751</v>
      </c>
      <c r="AW5" s="72">
        <f t="shared" si="35"/>
        <v>2.9314647683803967</v>
      </c>
    </row>
    <row r="6" spans="1:49">
      <c r="A6" s="157"/>
      <c r="B6" s="57">
        <f t="shared" si="36"/>
        <v>3</v>
      </c>
      <c r="C6" s="70">
        <f t="shared" si="37"/>
        <v>0.21992195772679746</v>
      </c>
      <c r="D6" s="71">
        <f t="shared" si="38"/>
        <v>12.600599999999998</v>
      </c>
      <c r="E6" s="72">
        <f t="shared" si="0"/>
        <v>-0.30308973109684523</v>
      </c>
      <c r="F6" s="70">
        <f t="shared" si="1"/>
        <v>0.10163868609804766</v>
      </c>
      <c r="G6" s="73">
        <f t="shared" si="2"/>
        <v>-4.1718513443811389E-7</v>
      </c>
      <c r="H6" s="73">
        <f t="shared" si="3"/>
        <v>1.1246804986486669E-6</v>
      </c>
      <c r="I6" s="70">
        <f t="shared" si="4"/>
        <v>2.9216706958629954</v>
      </c>
      <c r="J6" s="70">
        <f t="shared" si="5"/>
        <v>7.7629499928325991</v>
      </c>
      <c r="K6" s="70">
        <f t="shared" si="6"/>
        <v>5.9048248326637021E-2</v>
      </c>
      <c r="L6" s="70">
        <f t="shared" si="7"/>
        <v>0.27739012855848388</v>
      </c>
      <c r="M6" s="70">
        <f t="shared" si="8"/>
        <v>2.805154276704672</v>
      </c>
      <c r="N6" s="70">
        <f t="shared" si="9"/>
        <v>0.11651641915832367</v>
      </c>
      <c r="O6" s="70">
        <f t="shared" si="10"/>
        <v>0.16087370940015933</v>
      </c>
      <c r="P6" s="70">
        <f t="shared" si="11"/>
        <v>0.21463590909915897</v>
      </c>
      <c r="Q6" s="73">
        <f t="shared" si="12"/>
        <v>10.696284566008973</v>
      </c>
      <c r="R6" s="73">
        <f t="shared" si="13"/>
        <v>16.186472407763581</v>
      </c>
      <c r="S6" s="70">
        <f t="shared" si="14"/>
        <v>8.0603970125546542</v>
      </c>
      <c r="T6" s="70">
        <f t="shared" si="15"/>
        <v>-0.19982864507299022</v>
      </c>
      <c r="U6" s="70">
        <f t="shared" si="16"/>
        <v>6.003950094905198</v>
      </c>
      <c r="V6" s="72">
        <f t="shared" si="17"/>
        <v>2.9047412511310684</v>
      </c>
      <c r="W6" s="74">
        <f t="shared" si="39"/>
        <v>21.515116306578598</v>
      </c>
      <c r="X6" s="75"/>
      <c r="Y6" s="44">
        <f t="shared" si="40"/>
        <v>0.33643884268176594</v>
      </c>
      <c r="Z6" s="45">
        <f t="shared" si="18"/>
        <v>19.27652574993105</v>
      </c>
      <c r="AA6" s="46">
        <f t="shared" si="41"/>
        <v>19.27652574993105</v>
      </c>
      <c r="AB6" s="47">
        <f t="shared" si="42"/>
        <v>4.6579664503276774E-7</v>
      </c>
      <c r="AC6" s="48">
        <f>(Fx*G6+Fy*H6)/Data!AB6</f>
        <v>106.67106493217287</v>
      </c>
      <c r="AD6" s="118">
        <f t="shared" si="43"/>
        <v>12.600657295779511</v>
      </c>
      <c r="AE6" s="85">
        <f t="shared" si="19"/>
        <v>0.21992295772679746</v>
      </c>
      <c r="AF6" s="72">
        <f t="shared" si="20"/>
        <v>-0.30309014828197967</v>
      </c>
      <c r="AG6" s="75">
        <f t="shared" si="21"/>
        <v>0.10163981077854631</v>
      </c>
      <c r="AH6" s="87" t="s">
        <v>36</v>
      </c>
      <c r="AI6" s="87" t="s">
        <v>36</v>
      </c>
      <c r="AJ6" s="75">
        <f t="shared" si="22"/>
        <v>2.9216696958629957</v>
      </c>
      <c r="AK6" s="75">
        <f t="shared" si="23"/>
        <v>7.7629496564523786</v>
      </c>
      <c r="AL6" s="75">
        <f t="shared" si="24"/>
        <v>5.9048515349366726E-2</v>
      </c>
      <c r="AM6" s="75">
        <f t="shared" si="25"/>
        <v>0.27739032733239921</v>
      </c>
      <c r="AN6" s="75">
        <f t="shared" si="26"/>
        <v>2.8051538109080276</v>
      </c>
      <c r="AO6" s="75">
        <f t="shared" si="27"/>
        <v>0.11651588495496804</v>
      </c>
      <c r="AP6" s="75">
        <f t="shared" si="28"/>
        <v>0.16087444237743065</v>
      </c>
      <c r="AQ6" s="75">
        <f t="shared" si="29"/>
        <v>0.21463606128320167</v>
      </c>
      <c r="AR6" s="88">
        <f t="shared" si="30"/>
        <v>10.696381234615671</v>
      </c>
      <c r="AS6" s="88">
        <f t="shared" si="31"/>
        <v>16.186567841717498</v>
      </c>
      <c r="AT6" s="75">
        <f t="shared" si="32"/>
        <v>8.0603970125546542</v>
      </c>
      <c r="AU6" s="75">
        <f t="shared" si="33"/>
        <v>-0.19982864507299022</v>
      </c>
      <c r="AV6" s="75">
        <f t="shared" si="34"/>
        <v>6.0039505310699601</v>
      </c>
      <c r="AW6" s="72">
        <f t="shared" si="35"/>
        <v>2.9047400650107882</v>
      </c>
    </row>
    <row r="7" spans="1:49">
      <c r="A7" s="157"/>
      <c r="B7" s="57">
        <f t="shared" si="36"/>
        <v>4</v>
      </c>
      <c r="C7" s="70">
        <f t="shared" si="37"/>
        <v>0.24260774734421975</v>
      </c>
      <c r="D7" s="71">
        <f t="shared" si="38"/>
        <v>13.900399999999998</v>
      </c>
      <c r="E7" s="72">
        <f t="shared" si="0"/>
        <v>-0.31311023154308781</v>
      </c>
      <c r="F7" s="70">
        <f t="shared" si="1"/>
        <v>0.12825498133150451</v>
      </c>
      <c r="G7" s="73">
        <f t="shared" si="2"/>
        <v>-4.6628522998304334E-7</v>
      </c>
      <c r="H7" s="73">
        <f t="shared" si="3"/>
        <v>1.2208193597706973E-6</v>
      </c>
      <c r="I7" s="70">
        <f t="shared" si="4"/>
        <v>2.8989849062455733</v>
      </c>
      <c r="J7" s="70">
        <f t="shared" si="5"/>
        <v>7.7549282664926835</v>
      </c>
      <c r="K7" s="70">
        <f t="shared" si="6"/>
        <v>6.5100491724883858E-2</v>
      </c>
      <c r="L7" s="70">
        <f t="shared" si="7"/>
        <v>0.28209209990846751</v>
      </c>
      <c r="M7" s="70">
        <f t="shared" si="8"/>
        <v>2.7944000619564413</v>
      </c>
      <c r="N7" s="70">
        <f t="shared" si="9"/>
        <v>0.10458484428913206</v>
      </c>
      <c r="O7" s="70">
        <f t="shared" si="10"/>
        <v>0.17750725561933622</v>
      </c>
      <c r="P7" s="70">
        <f t="shared" si="11"/>
        <v>0.21823479953277669</v>
      </c>
      <c r="Q7" s="73">
        <f t="shared" si="12"/>
        <v>13.11698621822822</v>
      </c>
      <c r="R7" s="73">
        <f t="shared" si="13"/>
        <v>18.578389237924615</v>
      </c>
      <c r="S7" s="70">
        <f t="shared" si="14"/>
        <v>8.0603970125546542</v>
      </c>
      <c r="T7" s="70">
        <f t="shared" si="15"/>
        <v>-0.19982864507299022</v>
      </c>
      <c r="U7" s="70">
        <f t="shared" si="16"/>
        <v>6.0144778656941211</v>
      </c>
      <c r="V7" s="72">
        <f t="shared" si="17"/>
        <v>2.8776589147971881</v>
      </c>
      <c r="W7" s="74">
        <f t="shared" si="39"/>
        <v>22.674349536049526</v>
      </c>
      <c r="X7" s="75"/>
      <c r="Y7" s="44">
        <f t="shared" si="40"/>
        <v>0.3471930737888469</v>
      </c>
      <c r="Z7" s="45">
        <f t="shared" si="18"/>
        <v>19.892697804275095</v>
      </c>
      <c r="AA7" s="46">
        <f t="shared" si="41"/>
        <v>19.892697804275095</v>
      </c>
      <c r="AB7" s="47">
        <f t="shared" si="42"/>
        <v>4.8215549552921289E-7</v>
      </c>
      <c r="AC7" s="48">
        <f>(Fx*G7+Fy*H7)/Data!AB7</f>
        <v>111.62852211757972</v>
      </c>
      <c r="AD7" s="118">
        <f t="shared" si="43"/>
        <v>13.900457295779511</v>
      </c>
      <c r="AE7" s="85">
        <f t="shared" si="19"/>
        <v>0.24260874734421975</v>
      </c>
      <c r="AF7" s="72">
        <f t="shared" si="20"/>
        <v>-0.3131106978283178</v>
      </c>
      <c r="AG7" s="75">
        <f t="shared" si="21"/>
        <v>0.12825620215086428</v>
      </c>
      <c r="AH7" s="87" t="s">
        <v>36</v>
      </c>
      <c r="AI7" s="87" t="s">
        <v>36</v>
      </c>
      <c r="AJ7" s="75">
        <f t="shared" si="22"/>
        <v>2.8989839062455736</v>
      </c>
      <c r="AK7" s="75">
        <f t="shared" si="23"/>
        <v>7.7549278956811722</v>
      </c>
      <c r="AL7" s="75">
        <f t="shared" si="24"/>
        <v>6.5100758265380643E-2</v>
      </c>
      <c r="AM7" s="75">
        <f t="shared" si="25"/>
        <v>0.28209231552346625</v>
      </c>
      <c r="AN7" s="75">
        <f t="shared" si="26"/>
        <v>2.7943995798009462</v>
      </c>
      <c r="AO7" s="75">
        <f t="shared" si="27"/>
        <v>0.10458432644462715</v>
      </c>
      <c r="AP7" s="75">
        <f t="shared" si="28"/>
        <v>0.1775079890788418</v>
      </c>
      <c r="AQ7" s="75">
        <f t="shared" si="29"/>
        <v>0.21823496451825997</v>
      </c>
      <c r="AR7" s="88">
        <f t="shared" si="30"/>
        <v>13.117103931362301</v>
      </c>
      <c r="AS7" s="88">
        <f t="shared" si="31"/>
        <v>18.578505647640537</v>
      </c>
      <c r="AT7" s="75">
        <f t="shared" si="32"/>
        <v>8.0603970125546542</v>
      </c>
      <c r="AU7" s="75">
        <f t="shared" si="33"/>
        <v>-0.19982864507299022</v>
      </c>
      <c r="AV7" s="75">
        <f t="shared" si="34"/>
        <v>6.0144783579066541</v>
      </c>
      <c r="AW7" s="72">
        <f t="shared" si="35"/>
        <v>2.8776577135164714</v>
      </c>
    </row>
    <row r="8" spans="1:49">
      <c r="A8" s="157"/>
      <c r="B8" s="57">
        <f t="shared" si="36"/>
        <v>5</v>
      </c>
      <c r="C8" s="70">
        <f t="shared" si="37"/>
        <v>0.26529353696164204</v>
      </c>
      <c r="D8" s="71">
        <f t="shared" si="38"/>
        <v>15.200199999999999</v>
      </c>
      <c r="E8" s="72">
        <f t="shared" si="0"/>
        <v>-0.32424748765824596</v>
      </c>
      <c r="F8" s="70">
        <f t="shared" si="1"/>
        <v>0.15698256942446678</v>
      </c>
      <c r="G8" s="73">
        <f t="shared" si="2"/>
        <v>-5.1561187142112885E-7</v>
      </c>
      <c r="H8" s="73">
        <f t="shared" si="3"/>
        <v>1.3108082020651945E-6</v>
      </c>
      <c r="I8" s="70">
        <f t="shared" si="4"/>
        <v>2.8762991166281511</v>
      </c>
      <c r="J8" s="70">
        <f t="shared" si="5"/>
        <v>7.746126320124783</v>
      </c>
      <c r="K8" s="70">
        <f t="shared" si="6"/>
        <v>7.1141244344736343E-2</v>
      </c>
      <c r="L8" s="70">
        <f t="shared" si="7"/>
        <v>0.28716643386398877</v>
      </c>
      <c r="M8" s="70">
        <f t="shared" si="8"/>
        <v>2.783284975381068</v>
      </c>
      <c r="N8" s="70">
        <f t="shared" si="9"/>
        <v>9.3014141247083071E-2</v>
      </c>
      <c r="O8" s="70">
        <f t="shared" si="10"/>
        <v>0.19415229261690103</v>
      </c>
      <c r="P8" s="70">
        <f t="shared" si="11"/>
        <v>0.22211641528496107</v>
      </c>
      <c r="Q8" s="73">
        <f t="shared" si="12"/>
        <v>16.090614280529877</v>
      </c>
      <c r="R8" s="73">
        <f t="shared" si="13"/>
        <v>21.521648226473562</v>
      </c>
      <c r="S8" s="70">
        <f t="shared" si="14"/>
        <v>8.0603970125546542</v>
      </c>
      <c r="T8" s="70">
        <f t="shared" si="15"/>
        <v>-0.19982864507299022</v>
      </c>
      <c r="U8" s="70">
        <f t="shared" si="16"/>
        <v>6.0262925019998654</v>
      </c>
      <c r="V8" s="72">
        <f t="shared" si="17"/>
        <v>2.8502465595943818</v>
      </c>
      <c r="W8" s="74">
        <f t="shared" si="39"/>
        <v>23.850440106140763</v>
      </c>
      <c r="X8" s="75"/>
      <c r="Y8" s="44">
        <f t="shared" si="40"/>
        <v>0.35830817581906271</v>
      </c>
      <c r="Z8" s="45">
        <f t="shared" si="18"/>
        <v>20.529546239463752</v>
      </c>
      <c r="AA8" s="46">
        <f t="shared" si="41"/>
        <v>20.529546239463752</v>
      </c>
      <c r="AB8" s="47">
        <f t="shared" si="42"/>
        <v>4.9761033760198359E-7</v>
      </c>
      <c r="AC8" s="48">
        <f>(Fx*G8+Fy*H8)/Data!AB8</f>
        <v>115.88381135219774</v>
      </c>
      <c r="AD8" s="118">
        <f t="shared" si="43"/>
        <v>15.20025729577951</v>
      </c>
      <c r="AE8" s="85">
        <f t="shared" si="19"/>
        <v>0.26529453696164201</v>
      </c>
      <c r="AF8" s="72">
        <f t="shared" si="20"/>
        <v>-0.32424800327011738</v>
      </c>
      <c r="AG8" s="75">
        <f t="shared" si="21"/>
        <v>0.15698388023266885</v>
      </c>
      <c r="AH8" s="87" t="s">
        <v>36</v>
      </c>
      <c r="AI8" s="87" t="s">
        <v>36</v>
      </c>
      <c r="AJ8" s="75">
        <f t="shared" si="22"/>
        <v>2.8762981166281509</v>
      </c>
      <c r="AK8" s="75">
        <f t="shared" si="23"/>
        <v>7.7461259149608956</v>
      </c>
      <c r="AL8" s="75">
        <f t="shared" si="24"/>
        <v>7.1141510354367776E-2</v>
      </c>
      <c r="AM8" s="75">
        <f t="shared" si="25"/>
        <v>0.28716666546469494</v>
      </c>
      <c r="AN8" s="75">
        <f t="shared" si="26"/>
        <v>2.7832844777707306</v>
      </c>
      <c r="AO8" s="75">
        <f t="shared" si="27"/>
        <v>9.3013638857420478E-2</v>
      </c>
      <c r="AP8" s="75">
        <f t="shared" si="28"/>
        <v>0.19415302660727174</v>
      </c>
      <c r="AQ8" s="75">
        <f t="shared" si="29"/>
        <v>0.22211659239336368</v>
      </c>
      <c r="AR8" s="88">
        <f t="shared" si="30"/>
        <v>16.090760161929417</v>
      </c>
      <c r="AS8" s="88">
        <f t="shared" si="31"/>
        <v>21.521792733596584</v>
      </c>
      <c r="AT8" s="75">
        <f t="shared" si="32"/>
        <v>8.0603970125546542</v>
      </c>
      <c r="AU8" s="75">
        <f t="shared" si="33"/>
        <v>-0.19982864507299022</v>
      </c>
      <c r="AV8" s="75">
        <f t="shared" si="34"/>
        <v>6.0262930515829467</v>
      </c>
      <c r="AW8" s="72">
        <f t="shared" si="35"/>
        <v>2.8502453443821638</v>
      </c>
    </row>
    <row r="9" spans="1:49">
      <c r="A9" s="157"/>
      <c r="B9" s="57">
        <f>B8+1</f>
        <v>6</v>
      </c>
      <c r="C9" s="70">
        <f>C8+omegainc</f>
        <v>0.28797932657906433</v>
      </c>
      <c r="D9" s="71">
        <f t="shared" si="38"/>
        <v>16.5</v>
      </c>
      <c r="E9" s="72">
        <f t="shared" si="0"/>
        <v>-0.33650483718277791</v>
      </c>
      <c r="F9" s="70">
        <f t="shared" si="1"/>
        <v>0.18768182966069236</v>
      </c>
      <c r="G9" s="73">
        <f t="shared" si="2"/>
        <v>-5.6500921541413618E-7</v>
      </c>
      <c r="H9" s="73">
        <f t="shared" si="3"/>
        <v>1.3946496817129894E-6</v>
      </c>
      <c r="I9" s="70">
        <f t="shared" si="4"/>
        <v>2.8536133270107289</v>
      </c>
      <c r="J9" s="70">
        <f t="shared" si="5"/>
        <v>7.736546028606341</v>
      </c>
      <c r="K9" s="70">
        <f t="shared" si="6"/>
        <v>7.7169398816106627E-2</v>
      </c>
      <c r="L9" s="70">
        <f t="shared" si="7"/>
        <v>0.29259370025559184</v>
      </c>
      <c r="M9" s="70">
        <f t="shared" si="8"/>
        <v>2.7718295545180944</v>
      </c>
      <c r="N9" s="70">
        <f t="shared" si="9"/>
        <v>8.1783772492634355E-2</v>
      </c>
      <c r="O9" s="70">
        <f t="shared" si="10"/>
        <v>0.21080992776295537</v>
      </c>
      <c r="P9" s="70">
        <f t="shared" si="11"/>
        <v>0.22626533344335487</v>
      </c>
      <c r="Q9" s="73">
        <f t="shared" si="12"/>
        <v>19.816810872360094</v>
      </c>
      <c r="R9" s="73">
        <f t="shared" si="13"/>
        <v>25.215847076014839</v>
      </c>
      <c r="S9" s="70">
        <f t="shared" si="14"/>
        <v>8.0603970125546542</v>
      </c>
      <c r="T9" s="70">
        <f t="shared" si="15"/>
        <v>-0.19982864507299022</v>
      </c>
      <c r="U9" s="70">
        <f t="shared" si="16"/>
        <v>6.0394217536545556</v>
      </c>
      <c r="V9" s="72">
        <f t="shared" si="17"/>
        <v>2.8225321972861233</v>
      </c>
      <c r="W9" s="74">
        <f t="shared" si="39"/>
        <v>25.042567796699615</v>
      </c>
      <c r="X9" s="75"/>
      <c r="Y9" s="44">
        <f t="shared" si="40"/>
        <v>0.369763611232095</v>
      </c>
      <c r="Z9" s="45">
        <f t="shared" si="18"/>
        <v>21.185894341115205</v>
      </c>
      <c r="AA9" s="46">
        <f t="shared" si="41"/>
        <v>21.185894341115205</v>
      </c>
      <c r="AB9" s="47">
        <f t="shared" si="42"/>
        <v>5.1216039653745327E-7</v>
      </c>
      <c r="AC9" s="48">
        <f>(Fx*G9+Fy*H9)/Data!AB9</f>
        <v>119.52599311319149</v>
      </c>
      <c r="AD9" s="118">
        <f t="shared" si="43"/>
        <v>16.500057295779509</v>
      </c>
      <c r="AE9" s="85">
        <f t="shared" si="19"/>
        <v>0.28798032657906431</v>
      </c>
      <c r="AF9" s="72">
        <f t="shared" si="20"/>
        <v>-0.33650540219199332</v>
      </c>
      <c r="AG9" s="75">
        <f t="shared" si="21"/>
        <v>0.18768322431037407</v>
      </c>
      <c r="AH9" s="87" t="s">
        <v>36</v>
      </c>
      <c r="AI9" s="87" t="s">
        <v>36</v>
      </c>
      <c r="AJ9" s="75">
        <f t="shared" si="22"/>
        <v>2.8536123270107288</v>
      </c>
      <c r="AK9" s="75">
        <f t="shared" si="23"/>
        <v>7.7365455891764583</v>
      </c>
      <c r="AL9" s="75">
        <f t="shared" si="24"/>
        <v>7.7169664245872571E-2</v>
      </c>
      <c r="AM9" s="75">
        <f t="shared" si="25"/>
        <v>0.29259394698622243</v>
      </c>
      <c r="AN9" s="75">
        <f t="shared" si="26"/>
        <v>2.7718290423576981</v>
      </c>
      <c r="AO9" s="75">
        <f t="shared" si="27"/>
        <v>8.1783284653030697E-2</v>
      </c>
      <c r="AP9" s="75">
        <f t="shared" si="28"/>
        <v>0.21081066233319157</v>
      </c>
      <c r="AQ9" s="75">
        <f t="shared" si="29"/>
        <v>0.22626552199492611</v>
      </c>
      <c r="AR9" s="88">
        <f t="shared" si="30"/>
        <v>19.816995717352892</v>
      </c>
      <c r="AS9" s="88">
        <f t="shared" si="31"/>
        <v>25.216030474048594</v>
      </c>
      <c r="AT9" s="75">
        <f t="shared" si="32"/>
        <v>8.0603970125546542</v>
      </c>
      <c r="AU9" s="75">
        <f t="shared" si="33"/>
        <v>-0.19982864507299022</v>
      </c>
      <c r="AV9" s="75">
        <f t="shared" si="34"/>
        <v>6.0394223617313489</v>
      </c>
      <c r="AW9" s="72">
        <f t="shared" si="35"/>
        <v>2.822530969380586</v>
      </c>
    </row>
    <row r="10" spans="1:49">
      <c r="A10" s="157"/>
      <c r="B10" s="57">
        <f t="shared" si="36"/>
        <v>7</v>
      </c>
      <c r="C10" s="70">
        <f t="shared" si="37"/>
        <v>0.31066511619648662</v>
      </c>
      <c r="D10" s="71">
        <f t="shared" si="38"/>
        <v>17.799799999999998</v>
      </c>
      <c r="E10" s="72">
        <f t="shared" si="0"/>
        <v>-0.3498822846342371</v>
      </c>
      <c r="F10" s="70">
        <f t="shared" si="1"/>
        <v>0.22021395639485866</v>
      </c>
      <c r="G10" s="73">
        <f t="shared" si="2"/>
        <v>-6.1433914666508826E-7</v>
      </c>
      <c r="H10" s="73">
        <f t="shared" si="3"/>
        <v>1.4724110962427428E-6</v>
      </c>
      <c r="I10" s="70">
        <f t="shared" si="4"/>
        <v>2.8309275373933067</v>
      </c>
      <c r="J10" s="70">
        <f t="shared" si="5"/>
        <v>7.7261894364526968</v>
      </c>
      <c r="K10" s="70">
        <f t="shared" si="6"/>
        <v>8.3183838847486591E-2</v>
      </c>
      <c r="L10" s="70">
        <f t="shared" si="7"/>
        <v>0.29835457692939094</v>
      </c>
      <c r="M10" s="70">
        <f t="shared" si="8"/>
        <v>2.7600542378129154</v>
      </c>
      <c r="N10" s="70">
        <f t="shared" si="9"/>
        <v>7.0873299580391125E-2</v>
      </c>
      <c r="O10" s="70">
        <f t="shared" si="10"/>
        <v>0.22748127734899937</v>
      </c>
      <c r="P10" s="70">
        <f t="shared" si="11"/>
        <v>0.23066619512906406</v>
      </c>
      <c r="Q10" s="73">
        <f t="shared" si="12"/>
        <v>24.605935987701042</v>
      </c>
      <c r="R10" s="73">
        <f t="shared" si="13"/>
        <v>29.971307361292329</v>
      </c>
      <c r="S10" s="70">
        <f t="shared" si="14"/>
        <v>8.0603970125546542</v>
      </c>
      <c r="T10" s="70">
        <f t="shared" si="15"/>
        <v>-0.19982864507299022</v>
      </c>
      <c r="U10" s="70">
        <f t="shared" si="16"/>
        <v>6.0538888199670673</v>
      </c>
      <c r="V10" s="72">
        <f t="shared" si="17"/>
        <v>2.7945438911326286</v>
      </c>
      <c r="W10" s="74">
        <f t="shared" si="39"/>
        <v>26.249916567579074</v>
      </c>
      <c r="X10" s="75"/>
      <c r="Y10" s="44">
        <f t="shared" si="40"/>
        <v>0.38153894159176693</v>
      </c>
      <c r="Z10" s="45">
        <f t="shared" si="18"/>
        <v>21.860571073096672</v>
      </c>
      <c r="AA10" s="46">
        <f t="shared" si="41"/>
        <v>21.860571073096672</v>
      </c>
      <c r="AB10" s="47">
        <f t="shared" si="42"/>
        <v>5.2581488940717236E-7</v>
      </c>
      <c r="AC10" s="48">
        <f>(Fx*G10+Fy*H10)/Data!AB10</f>
        <v>122.63085692371952</v>
      </c>
      <c r="AD10" s="118">
        <f t="shared" si="43"/>
        <v>17.799857295779507</v>
      </c>
      <c r="AE10" s="85">
        <f t="shared" si="19"/>
        <v>0.3106661161964866</v>
      </c>
      <c r="AF10" s="72">
        <f t="shared" si="20"/>
        <v>-0.34988289897338376</v>
      </c>
      <c r="AG10" s="75">
        <f t="shared" si="21"/>
        <v>0.2202154288059549</v>
      </c>
      <c r="AH10" s="87" t="s">
        <v>36</v>
      </c>
      <c r="AI10" s="87" t="s">
        <v>36</v>
      </c>
      <c r="AJ10" s="75">
        <f t="shared" si="22"/>
        <v>2.8309265373933066</v>
      </c>
      <c r="AK10" s="75">
        <f t="shared" si="23"/>
        <v>7.7261889628506895</v>
      </c>
      <c r="AL10" s="75">
        <f t="shared" si="24"/>
        <v>8.3184103647967467E-2</v>
      </c>
      <c r="AM10" s="75">
        <f t="shared" si="25"/>
        <v>0.29835483794379947</v>
      </c>
      <c r="AN10" s="75">
        <f t="shared" si="26"/>
        <v>2.760053711998026</v>
      </c>
      <c r="AO10" s="75">
        <f t="shared" si="27"/>
        <v>7.0872825395280559E-2</v>
      </c>
      <c r="AP10" s="75">
        <f t="shared" si="28"/>
        <v>0.22748201254851752</v>
      </c>
      <c r="AQ10" s="75">
        <f t="shared" si="29"/>
        <v>0.23066639445070014</v>
      </c>
      <c r="AR10" s="88">
        <f t="shared" si="30"/>
        <v>24.606176981549819</v>
      </c>
      <c r="AS10" s="88">
        <f t="shared" si="31"/>
        <v>29.971546833934873</v>
      </c>
      <c r="AT10" s="75">
        <f t="shared" si="32"/>
        <v>8.0603970125546542</v>
      </c>
      <c r="AU10" s="75">
        <f t="shared" si="33"/>
        <v>-0.19982864507299022</v>
      </c>
      <c r="AV10" s="75">
        <f t="shared" si="34"/>
        <v>6.053889487459676</v>
      </c>
      <c r="AW10" s="72">
        <f t="shared" si="35"/>
        <v>2.7945426517675607</v>
      </c>
    </row>
    <row r="11" spans="1:49">
      <c r="A11" s="157"/>
      <c r="B11" s="57">
        <f t="shared" si="36"/>
        <v>8</v>
      </c>
      <c r="C11" s="70">
        <f t="shared" si="37"/>
        <v>0.33335090581390892</v>
      </c>
      <c r="D11" s="71">
        <f t="shared" si="38"/>
        <v>19.099599999999995</v>
      </c>
      <c r="E11" s="72">
        <f t="shared" si="0"/>
        <v>-0.36437689488254854</v>
      </c>
      <c r="F11" s="70">
        <f t="shared" si="1"/>
        <v>0.2544422954324923</v>
      </c>
      <c r="G11" s="73">
        <f t="shared" si="2"/>
        <v>-6.6348045191233496E-7</v>
      </c>
      <c r="H11" s="73">
        <f t="shared" si="3"/>
        <v>1.5442130143483723E-6</v>
      </c>
      <c r="I11" s="70">
        <f t="shared" si="4"/>
        <v>2.8082417477758841</v>
      </c>
      <c r="J11" s="70">
        <f t="shared" si="5"/>
        <v>7.7150587583841839</v>
      </c>
      <c r="K11" s="70">
        <f t="shared" si="6"/>
        <v>8.9183438416935434E-2</v>
      </c>
      <c r="L11" s="70">
        <f t="shared" si="7"/>
        <v>0.30443005776097243</v>
      </c>
      <c r="M11" s="70">
        <f t="shared" si="8"/>
        <v>2.7479791574118853</v>
      </c>
      <c r="N11" s="70">
        <f t="shared" si="9"/>
        <v>6.0262590363998947E-2</v>
      </c>
      <c r="O11" s="70">
        <f t="shared" si="10"/>
        <v>0.24416746739697159</v>
      </c>
      <c r="P11" s="70">
        <f t="shared" si="11"/>
        <v>0.23530386855689733</v>
      </c>
      <c r="Q11" s="73">
        <f t="shared" si="12"/>
        <v>30.96836308827087</v>
      </c>
      <c r="R11" s="73">
        <f t="shared" si="13"/>
        <v>36.29836988324606</v>
      </c>
      <c r="S11" s="70">
        <f t="shared" si="14"/>
        <v>8.0603970125546542</v>
      </c>
      <c r="T11" s="70">
        <f t="shared" si="15"/>
        <v>-0.19982864507299022</v>
      </c>
      <c r="U11" s="70">
        <f t="shared" si="16"/>
        <v>6.0697123494355365</v>
      </c>
      <c r="V11" s="72">
        <f t="shared" si="17"/>
        <v>2.7663094681100242</v>
      </c>
      <c r="W11" s="74">
        <f t="shared" si="39"/>
        <v>27.471683947655897</v>
      </c>
      <c r="X11" s="75"/>
      <c r="Y11" s="44">
        <f t="shared" si="40"/>
        <v>0.39361403476921808</v>
      </c>
      <c r="Z11" s="45">
        <f t="shared" si="18"/>
        <v>22.55242294939184</v>
      </c>
      <c r="AA11" s="46">
        <f t="shared" si="41"/>
        <v>22.55242294939184</v>
      </c>
      <c r="AB11" s="47">
        <f t="shared" si="42"/>
        <v>5.3859131021738449E-7</v>
      </c>
      <c r="AC11" s="48">
        <f>(Fx*G11+Fy*H11)/Data!AB11</f>
        <v>125.26314901532963</v>
      </c>
      <c r="AD11" s="118">
        <f t="shared" si="43"/>
        <v>19.099657295779508</v>
      </c>
      <c r="AE11" s="85">
        <f t="shared" si="19"/>
        <v>0.33335190581390889</v>
      </c>
      <c r="AF11" s="72">
        <f t="shared" si="20"/>
        <v>-0.36437755836300045</v>
      </c>
      <c r="AG11" s="75">
        <f t="shared" si="21"/>
        <v>0.25444383964550665</v>
      </c>
      <c r="AH11" s="87" t="s">
        <v>36</v>
      </c>
      <c r="AI11" s="87" t="s">
        <v>36</v>
      </c>
      <c r="AJ11" s="75">
        <f t="shared" si="22"/>
        <v>2.8082407477758844</v>
      </c>
      <c r="AK11" s="75">
        <f t="shared" si="23"/>
        <v>7.7150582507114365</v>
      </c>
      <c r="AL11" s="75">
        <f t="shared" si="24"/>
        <v>8.9183702538271792E-2</v>
      </c>
      <c r="AM11" s="75">
        <f t="shared" si="25"/>
        <v>0.30443033223094629</v>
      </c>
      <c r="AN11" s="75">
        <f t="shared" si="26"/>
        <v>2.747978618820575</v>
      </c>
      <c r="AO11" s="75">
        <f t="shared" si="27"/>
        <v>6.0262128955309191E-2</v>
      </c>
      <c r="AP11" s="75">
        <f t="shared" si="28"/>
        <v>0.24416820327563782</v>
      </c>
      <c r="AQ11" s="75">
        <f t="shared" si="29"/>
        <v>0.23530407798864328</v>
      </c>
      <c r="AR11" s="88">
        <f t="shared" si="30"/>
        <v>30.968689350436751</v>
      </c>
      <c r="AS11" s="88">
        <f t="shared" si="31"/>
        <v>36.298694548641713</v>
      </c>
      <c r="AT11" s="75">
        <f t="shared" si="32"/>
        <v>8.0603970125546542</v>
      </c>
      <c r="AU11" s="75">
        <f t="shared" si="33"/>
        <v>-0.19982864507299022</v>
      </c>
      <c r="AV11" s="75">
        <f t="shared" si="34"/>
        <v>6.0697130770663561</v>
      </c>
      <c r="AW11" s="72">
        <f t="shared" si="35"/>
        <v>2.7663082185030841</v>
      </c>
    </row>
    <row r="12" spans="1:49">
      <c r="A12" s="157"/>
      <c r="B12" s="57">
        <f t="shared" si="36"/>
        <v>9</v>
      </c>
      <c r="C12" s="70">
        <f t="shared" si="37"/>
        <v>0.35603669543133121</v>
      </c>
      <c r="D12" s="71">
        <f t="shared" si="38"/>
        <v>20.399399999999996</v>
      </c>
      <c r="E12" s="72">
        <f t="shared" si="0"/>
        <v>-0.37998316359027307</v>
      </c>
      <c r="F12" s="70">
        <f t="shared" si="1"/>
        <v>0.29023342868944846</v>
      </c>
      <c r="G12" s="73">
        <f t="shared" si="2"/>
        <v>-7.1232761467143746E-7</v>
      </c>
      <c r="H12" s="73">
        <f t="shared" si="3"/>
        <v>1.6102183622579425E-6</v>
      </c>
      <c r="I12" s="70">
        <f t="shared" si="4"/>
        <v>2.7855559581584619</v>
      </c>
      <c r="J12" s="70">
        <f t="shared" si="5"/>
        <v>7.7031563799459457</v>
      </c>
      <c r="K12" s="70">
        <f t="shared" si="6"/>
        <v>9.5167060951561133E-2</v>
      </c>
      <c r="L12" s="70">
        <f t="shared" si="7"/>
        <v>0.31080162137388045</v>
      </c>
      <c r="M12" s="70">
        <f t="shared" si="8"/>
        <v>2.7356239712643515</v>
      </c>
      <c r="N12" s="70">
        <f t="shared" si="9"/>
        <v>4.9931986894110381E-2</v>
      </c>
      <c r="O12" s="70">
        <f t="shared" si="10"/>
        <v>0.26086963447976941</v>
      </c>
      <c r="P12" s="70">
        <f t="shared" si="11"/>
        <v>0.24016358144501759</v>
      </c>
      <c r="Q12" s="73">
        <f t="shared" si="12"/>
        <v>39.806758583942162</v>
      </c>
      <c r="R12" s="73">
        <f t="shared" si="13"/>
        <v>45.099673868072784</v>
      </c>
      <c r="S12" s="70">
        <f t="shared" si="14"/>
        <v>8.0603970125546542</v>
      </c>
      <c r="T12" s="70">
        <f t="shared" si="15"/>
        <v>-0.19982864507299022</v>
      </c>
      <c r="U12" s="70">
        <f t="shared" si="16"/>
        <v>6.0869064977761917</v>
      </c>
      <c r="V12" s="72">
        <f t="shared" si="17"/>
        <v>2.7378562740201353</v>
      </c>
      <c r="W12" s="74">
        <f t="shared" si="39"/>
        <v>28.707088668357162</v>
      </c>
      <c r="X12" s="75"/>
      <c r="Y12" s="44">
        <f t="shared" si="40"/>
        <v>0.40596923283914177</v>
      </c>
      <c r="Z12" s="45">
        <f t="shared" si="18"/>
        <v>23.260323653846648</v>
      </c>
      <c r="AA12" s="46">
        <f t="shared" si="41"/>
        <v>23.260323653846648</v>
      </c>
      <c r="AB12" s="47">
        <f t="shared" si="42"/>
        <v>5.505137001815541E-7</v>
      </c>
      <c r="AC12" s="48">
        <f>(Fx*G12+Fy*H12)/Data!AB12</f>
        <v>127.47839047233705</v>
      </c>
      <c r="AD12" s="118">
        <f t="shared" si="43"/>
        <v>20.399457295779509</v>
      </c>
      <c r="AE12" s="85">
        <f t="shared" si="19"/>
        <v>0.35603769543133118</v>
      </c>
      <c r="AF12" s="72">
        <f t="shared" si="20"/>
        <v>-0.37998387591788774</v>
      </c>
      <c r="AG12" s="75">
        <f t="shared" si="21"/>
        <v>0.29023503890781072</v>
      </c>
      <c r="AH12" s="87" t="s">
        <v>36</v>
      </c>
      <c r="AI12" s="87" t="s">
        <v>36</v>
      </c>
      <c r="AJ12" s="75">
        <f t="shared" si="22"/>
        <v>2.7855549581584618</v>
      </c>
      <c r="AK12" s="75">
        <f t="shared" si="23"/>
        <v>7.7031558383113916</v>
      </c>
      <c r="AL12" s="75">
        <f t="shared" si="24"/>
        <v>9.5167324343406801E-2</v>
      </c>
      <c r="AM12" s="75">
        <f t="shared" si="25"/>
        <v>0.31080190849573497</v>
      </c>
      <c r="AN12" s="75">
        <f t="shared" si="26"/>
        <v>2.7356234207506516</v>
      </c>
      <c r="AO12" s="75">
        <f t="shared" si="27"/>
        <v>4.9931537407810367E-2</v>
      </c>
      <c r="AP12" s="75">
        <f t="shared" si="28"/>
        <v>0.26087037108792299</v>
      </c>
      <c r="AQ12" s="75">
        <f t="shared" si="29"/>
        <v>0.24016380034524754</v>
      </c>
      <c r="AR12" s="88">
        <f t="shared" si="30"/>
        <v>39.807223670122838</v>
      </c>
      <c r="AS12" s="88">
        <f t="shared" si="31"/>
        <v>45.100137280837245</v>
      </c>
      <c r="AT12" s="75">
        <f t="shared" si="32"/>
        <v>8.0603970125546542</v>
      </c>
      <c r="AU12" s="75">
        <f t="shared" si="33"/>
        <v>-0.19982864507299022</v>
      </c>
      <c r="AV12" s="75">
        <f t="shared" si="34"/>
        <v>6.0869072860715825</v>
      </c>
      <c r="AW12" s="72">
        <f t="shared" si="35"/>
        <v>2.737855015363007</v>
      </c>
    </row>
    <row r="13" spans="1:49">
      <c r="A13" s="157"/>
      <c r="B13" s="57">
        <f t="shared" si="36"/>
        <v>10</v>
      </c>
      <c r="C13" s="70">
        <f t="shared" si="37"/>
        <v>0.3787224850487535</v>
      </c>
      <c r="D13" s="71">
        <f t="shared" si="38"/>
        <v>21.699199999999998</v>
      </c>
      <c r="E13" s="72">
        <f t="shared" si="0"/>
        <v>-0.39669335781119486</v>
      </c>
      <c r="F13" s="70">
        <f t="shared" si="1"/>
        <v>0.32745802205959135</v>
      </c>
      <c r="G13" s="73">
        <f t="shared" si="2"/>
        <v>-7.6078942612411993E-7</v>
      </c>
      <c r="H13" s="73">
        <f t="shared" si="3"/>
        <v>1.6706227086715764E-6</v>
      </c>
      <c r="I13" s="70">
        <f t="shared" si="4"/>
        <v>2.7628701685410397</v>
      </c>
      <c r="J13" s="70">
        <f t="shared" si="5"/>
        <v>7.6904848581819838</v>
      </c>
      <c r="K13" s="70">
        <f t="shared" si="6"/>
        <v>0.10113355849454253</v>
      </c>
      <c r="L13" s="70">
        <f t="shared" si="7"/>
        <v>0.31745136273605645</v>
      </c>
      <c r="M13" s="70">
        <f t="shared" si="8"/>
        <v>2.7230077323591941</v>
      </c>
      <c r="N13" s="70">
        <f t="shared" si="9"/>
        <v>3.9862436181845484E-2</v>
      </c>
      <c r="O13" s="70">
        <f t="shared" si="10"/>
        <v>0.27758892655421108</v>
      </c>
      <c r="P13" s="70">
        <f t="shared" si="11"/>
        <v>0.24523102445529599</v>
      </c>
      <c r="Q13" s="73">
        <f t="shared" si="12"/>
        <v>52.882889538584216</v>
      </c>
      <c r="R13" s="73">
        <f t="shared" si="13"/>
        <v>58.136964365085511</v>
      </c>
      <c r="S13" s="70">
        <f t="shared" si="14"/>
        <v>8.0603970125546542</v>
      </c>
      <c r="T13" s="70">
        <f t="shared" si="15"/>
        <v>-0.19982864507299022</v>
      </c>
      <c r="U13" s="70">
        <f t="shared" si="16"/>
        <v>6.1054810339063641</v>
      </c>
      <c r="V13" s="72">
        <f t="shared" si="17"/>
        <v>2.7092109703203096</v>
      </c>
      <c r="W13" s="74">
        <f t="shared" si="39"/>
        <v>29.955376638081219</v>
      </c>
      <c r="X13" s="75"/>
      <c r="Y13" s="44">
        <f t="shared" si="40"/>
        <v>0.41858548284169994</v>
      </c>
      <c r="Z13" s="45">
        <f t="shared" si="18"/>
        <v>23.983181532275143</v>
      </c>
      <c r="AA13" s="46">
        <f t="shared" si="41"/>
        <v>23.983181532275143</v>
      </c>
      <c r="AB13" s="47">
        <f t="shared" si="42"/>
        <v>5.6161110095764855E-7</v>
      </c>
      <c r="AC13" s="48">
        <f>(Fx*G13+Fy*H13)/Data!AB13</f>
        <v>129.32437754814845</v>
      </c>
      <c r="AD13" s="118">
        <f t="shared" si="43"/>
        <v>21.699257295779507</v>
      </c>
      <c r="AE13" s="85">
        <f t="shared" si="19"/>
        <v>0.37872348504875347</v>
      </c>
      <c r="AF13" s="72">
        <f t="shared" si="20"/>
        <v>-0.39669411860062098</v>
      </c>
      <c r="AG13" s="75">
        <f t="shared" si="21"/>
        <v>0.32745969268230002</v>
      </c>
      <c r="AH13" s="87" t="s">
        <v>36</v>
      </c>
      <c r="AI13" s="87" t="s">
        <v>36</v>
      </c>
      <c r="AJ13" s="75">
        <f t="shared" si="22"/>
        <v>2.7628691685410396</v>
      </c>
      <c r="AK13" s="75">
        <f t="shared" si="23"/>
        <v>7.6904842827021263</v>
      </c>
      <c r="AL13" s="75">
        <f t="shared" si="24"/>
        <v>0.1011338211060302</v>
      </c>
      <c r="AM13" s="75">
        <f t="shared" si="25"/>
        <v>0.31745166173566974</v>
      </c>
      <c r="AN13" s="75">
        <f t="shared" si="26"/>
        <v>2.723007170748093</v>
      </c>
      <c r="AO13" s="75">
        <f t="shared" si="27"/>
        <v>3.9861997792946691E-2</v>
      </c>
      <c r="AP13" s="75">
        <f t="shared" si="28"/>
        <v>0.27758966394272333</v>
      </c>
      <c r="AQ13" s="75">
        <f t="shared" si="29"/>
        <v>0.24523125220467623</v>
      </c>
      <c r="AR13" s="88">
        <f t="shared" si="30"/>
        <v>52.883603714475818</v>
      </c>
      <c r="AS13" s="88">
        <f t="shared" si="31"/>
        <v>58.13767679005371</v>
      </c>
      <c r="AT13" s="75">
        <f t="shared" si="32"/>
        <v>8.0603970125546542</v>
      </c>
      <c r="AU13" s="75">
        <f t="shared" si="33"/>
        <v>-0.19982864507299022</v>
      </c>
      <c r="AV13" s="75">
        <f t="shared" si="34"/>
        <v>6.1054818832022582</v>
      </c>
      <c r="AW13" s="72">
        <f t="shared" si="35"/>
        <v>2.7092097037706031</v>
      </c>
    </row>
    <row r="14" spans="1:49">
      <c r="A14" s="157"/>
      <c r="B14" s="57">
        <f t="shared" si="36"/>
        <v>11</v>
      </c>
      <c r="C14" s="70">
        <f t="shared" si="37"/>
        <v>0.40140827466617579</v>
      </c>
      <c r="D14" s="71">
        <f t="shared" si="38"/>
        <v>22.998999999999999</v>
      </c>
      <c r="E14" s="72">
        <f t="shared" si="0"/>
        <v>-0.41449782297042592</v>
      </c>
      <c r="F14" s="70">
        <f t="shared" si="1"/>
        <v>0.36599145846996528</v>
      </c>
      <c r="G14" s="73">
        <f t="shared" si="2"/>
        <v>-8.0878742814149973E-7</v>
      </c>
      <c r="H14" s="73">
        <f t="shared" si="3"/>
        <v>1.7256449695302045E-6</v>
      </c>
      <c r="I14" s="70">
        <f t="shared" si="4"/>
        <v>2.7401843789236171</v>
      </c>
      <c r="J14" s="70">
        <f t="shared" si="5"/>
        <v>7.6770469223650508</v>
      </c>
      <c r="K14" s="70">
        <f t="shared" si="6"/>
        <v>0.10708177085869686</v>
      </c>
      <c r="L14" s="70">
        <f t="shared" si="7"/>
        <v>0.3243620909631022</v>
      </c>
      <c r="M14" s="70">
        <f t="shared" si="8"/>
        <v>2.7101487917679941</v>
      </c>
      <c r="N14" s="70">
        <f t="shared" si="9"/>
        <v>3.0035587155623267E-2</v>
      </c>
      <c r="O14" s="70">
        <f t="shared" si="10"/>
        <v>0.29432650380747805</v>
      </c>
      <c r="P14" s="70">
        <f t="shared" si="11"/>
        <v>0.25049242824863249</v>
      </c>
      <c r="Q14" s="73">
        <f t="shared" si="12"/>
        <v>74.159054553058965</v>
      </c>
      <c r="R14" s="73">
        <f t="shared" si="13"/>
        <v>79.372522808230514</v>
      </c>
      <c r="S14" s="70">
        <f t="shared" si="14"/>
        <v>8.0603970125546542</v>
      </c>
      <c r="T14" s="70">
        <f t="shared" si="15"/>
        <v>-0.19982864507299022</v>
      </c>
      <c r="U14" s="70">
        <f t="shared" si="16"/>
        <v>6.125441484071418</v>
      </c>
      <c r="V14" s="72">
        <f t="shared" si="17"/>
        <v>2.6803993700605542</v>
      </c>
      <c r="W14" s="74">
        <f t="shared" si="39"/>
        <v>31.215825405639887</v>
      </c>
      <c r="X14" s="75"/>
      <c r="Y14" s="44">
        <f t="shared" si="40"/>
        <v>0.43144443373793528</v>
      </c>
      <c r="Z14" s="45">
        <f t="shared" si="18"/>
        <v>24.7199451475954</v>
      </c>
      <c r="AA14" s="46">
        <f t="shared" si="41"/>
        <v>24.7199451475954</v>
      </c>
      <c r="AB14" s="47">
        <f t="shared" si="42"/>
        <v>5.7191613622720183E-7</v>
      </c>
      <c r="AC14" s="48">
        <f>(Fx*G14+Fy*H14)/Data!AB14</f>
        <v>130.84237001968896</v>
      </c>
      <c r="AD14" s="118">
        <f t="shared" si="43"/>
        <v>22.999057295779508</v>
      </c>
      <c r="AE14" s="85">
        <f t="shared" si="19"/>
        <v>0.40140927466617576</v>
      </c>
      <c r="AF14" s="72">
        <f t="shared" si="20"/>
        <v>-0.41449863175785406</v>
      </c>
      <c r="AG14" s="75">
        <f t="shared" si="21"/>
        <v>0.36599318411493481</v>
      </c>
      <c r="AH14" s="87" t="s">
        <v>36</v>
      </c>
      <c r="AI14" s="87" t="s">
        <v>36</v>
      </c>
      <c r="AJ14" s="75">
        <f t="shared" si="22"/>
        <v>2.7401833789236174</v>
      </c>
      <c r="AK14" s="75">
        <f t="shared" si="23"/>
        <v>7.6770463131640083</v>
      </c>
      <c r="AL14" s="75">
        <f t="shared" si="24"/>
        <v>0.1070820326384041</v>
      </c>
      <c r="AM14" s="75">
        <f t="shared" si="25"/>
        <v>0.32436240109953118</v>
      </c>
      <c r="AN14" s="75">
        <f t="shared" si="26"/>
        <v>2.7101482198518578</v>
      </c>
      <c r="AO14" s="75">
        <f t="shared" si="27"/>
        <v>3.0035159071759521E-2</v>
      </c>
      <c r="AP14" s="75">
        <f t="shared" si="28"/>
        <v>0.29432724202776872</v>
      </c>
      <c r="AQ14" s="75">
        <f t="shared" si="29"/>
        <v>0.2504926642529739</v>
      </c>
      <c r="AR14" s="88">
        <f t="shared" si="30"/>
        <v>74.160285924995478</v>
      </c>
      <c r="AS14" s="88">
        <f t="shared" si="31"/>
        <v>79.373752351081791</v>
      </c>
      <c r="AT14" s="75">
        <f t="shared" si="32"/>
        <v>8.0603970125546542</v>
      </c>
      <c r="AU14" s="75">
        <f t="shared" si="33"/>
        <v>-0.19982864507299022</v>
      </c>
      <c r="AV14" s="75">
        <f t="shared" si="34"/>
        <v>6.1254423945203555</v>
      </c>
      <c r="AW14" s="72">
        <f t="shared" si="35"/>
        <v>2.6803980967354173</v>
      </c>
    </row>
    <row r="15" spans="1:49">
      <c r="A15" s="157"/>
      <c r="B15" s="57">
        <f t="shared" si="36"/>
        <v>12</v>
      </c>
      <c r="C15" s="70">
        <f t="shared" si="37"/>
        <v>0.42409406428359808</v>
      </c>
      <c r="D15" s="71">
        <f t="shared" si="38"/>
        <v>24.298799999999996</v>
      </c>
      <c r="E15" s="72">
        <f t="shared" si="0"/>
        <v>-0.43338525480919898</v>
      </c>
      <c r="F15" s="70">
        <f t="shared" si="1"/>
        <v>0.40571428206070298</v>
      </c>
      <c r="G15" s="73">
        <f t="shared" si="2"/>
        <v>-8.5625438472902715E-7</v>
      </c>
      <c r="H15" s="73">
        <f t="shared" si="3"/>
        <v>1.7755200399371951E-6</v>
      </c>
      <c r="I15" s="70">
        <f t="shared" si="4"/>
        <v>2.7174985893061949</v>
      </c>
      <c r="J15" s="70">
        <f t="shared" si="5"/>
        <v>7.6628454747841976</v>
      </c>
      <c r="K15" s="70">
        <f t="shared" si="6"/>
        <v>0.11301052476565299</v>
      </c>
      <c r="L15" s="70">
        <f t="shared" si="7"/>
        <v>0.33151739732097152</v>
      </c>
      <c r="M15" s="70">
        <f t="shared" si="8"/>
        <v>2.6970647315031684</v>
      </c>
      <c r="N15" s="70">
        <f t="shared" si="9"/>
        <v>2.0433857803026645E-2</v>
      </c>
      <c r="O15" s="70">
        <f t="shared" si="10"/>
        <v>0.31108353951794321</v>
      </c>
      <c r="P15" s="70">
        <f t="shared" si="11"/>
        <v>0.25593461725926581</v>
      </c>
      <c r="Q15" s="73">
        <f t="shared" si="12"/>
        <v>114.79409792526381</v>
      </c>
      <c r="R15" s="73">
        <f t="shared" si="13"/>
        <v>119.96518085174232</v>
      </c>
      <c r="S15" s="70">
        <f t="shared" si="14"/>
        <v>8.0603970125546542</v>
      </c>
      <c r="T15" s="70">
        <f t="shared" si="15"/>
        <v>-0.19982864507299022</v>
      </c>
      <c r="U15" s="70">
        <f t="shared" si="16"/>
        <v>6.1467893052047042</v>
      </c>
      <c r="V15" s="72">
        <f t="shared" si="17"/>
        <v>2.6514463094046343</v>
      </c>
      <c r="W15" s="74">
        <f t="shared" si="39"/>
        <v>32.487747290621314</v>
      </c>
      <c r="X15" s="75"/>
      <c r="Y15" s="44">
        <f t="shared" si="40"/>
        <v>0.44452850355042184</v>
      </c>
      <c r="Z15" s="45">
        <f t="shared" si="18"/>
        <v>25.469607126705405</v>
      </c>
      <c r="AA15" s="46">
        <f t="shared" si="41"/>
        <v>25.469607126705405</v>
      </c>
      <c r="AB15" s="47">
        <f t="shared" si="42"/>
        <v>5.8146379733337028E-7</v>
      </c>
      <c r="AC15" s="48">
        <f>(Fx*G15+Fy*H15)/Data!AB15</f>
        <v>132.06812680069606</v>
      </c>
      <c r="AD15" s="118">
        <f t="shared" si="43"/>
        <v>24.298857295779506</v>
      </c>
      <c r="AE15" s="85">
        <f t="shared" si="19"/>
        <v>0.42409506428359806</v>
      </c>
      <c r="AF15" s="72">
        <f t="shared" si="20"/>
        <v>-0.43338611106358371</v>
      </c>
      <c r="AG15" s="75">
        <f t="shared" si="21"/>
        <v>0.40571605758074292</v>
      </c>
      <c r="AH15" s="87" t="s">
        <v>36</v>
      </c>
      <c r="AI15" s="87" t="s">
        <v>36</v>
      </c>
      <c r="AJ15" s="75">
        <f t="shared" si="22"/>
        <v>2.7174975893061952</v>
      </c>
      <c r="AK15" s="75">
        <f t="shared" si="23"/>
        <v>7.662844831993727</v>
      </c>
      <c r="AL15" s="75">
        <f t="shared" si="24"/>
        <v>0.11301078566156098</v>
      </c>
      <c r="AM15" s="75">
        <f t="shared" si="25"/>
        <v>0.33151771788886086</v>
      </c>
      <c r="AN15" s="75">
        <f t="shared" si="26"/>
        <v>2.6970641500393713</v>
      </c>
      <c r="AO15" s="75">
        <f t="shared" si="27"/>
        <v>2.0433439266823783E-2</v>
      </c>
      <c r="AP15" s="75">
        <f t="shared" si="28"/>
        <v>0.3110842786220358</v>
      </c>
      <c r="AQ15" s="75">
        <f t="shared" si="29"/>
        <v>0.2559348609514347</v>
      </c>
      <c r="AR15" s="88">
        <f t="shared" si="30"/>
        <v>114.79670317473699</v>
      </c>
      <c r="AS15" s="88">
        <f t="shared" si="31"/>
        <v>119.96778419350611</v>
      </c>
      <c r="AT15" s="75">
        <f t="shared" si="32"/>
        <v>8.0603970125546542</v>
      </c>
      <c r="AU15" s="75">
        <f t="shared" si="33"/>
        <v>-0.19982864507299022</v>
      </c>
      <c r="AV15" s="75">
        <f t="shared" si="34"/>
        <v>6.1467902767840172</v>
      </c>
      <c r="AW15" s="72">
        <f t="shared" si="35"/>
        <v>2.6514450303757884</v>
      </c>
    </row>
    <row r="16" spans="1:49">
      <c r="A16" s="157"/>
      <c r="B16" s="57">
        <f t="shared" si="36"/>
        <v>13</v>
      </c>
      <c r="C16" s="70">
        <f t="shared" si="37"/>
        <v>0.44677985390102037</v>
      </c>
      <c r="D16" s="71">
        <f t="shared" si="38"/>
        <v>25.598599999999998</v>
      </c>
      <c r="E16" s="72">
        <f t="shared" si="0"/>
        <v>-0.45334293666645387</v>
      </c>
      <c r="F16" s="70">
        <f t="shared" si="1"/>
        <v>0.44651248090332313</v>
      </c>
      <c r="G16" s="73">
        <f t="shared" si="2"/>
        <v>-9.0313277212317189E-7</v>
      </c>
      <c r="H16" s="73">
        <f t="shared" si="3"/>
        <v>1.8204919994824209E-6</v>
      </c>
      <c r="I16" s="70">
        <f t="shared" si="4"/>
        <v>2.6948127996887727</v>
      </c>
      <c r="J16" s="70">
        <f t="shared" si="5"/>
        <v>7.6478835915918468</v>
      </c>
      <c r="K16" s="70">
        <f t="shared" si="6"/>
        <v>0.11891863296955707</v>
      </c>
      <c r="L16" s="70">
        <f t="shared" si="7"/>
        <v>0.33890169768667655</v>
      </c>
      <c r="M16" s="70">
        <f t="shared" si="8"/>
        <v>2.6837723229335593</v>
      </c>
      <c r="N16" s="70">
        <f t="shared" si="9"/>
        <v>1.1040476755213469E-2</v>
      </c>
      <c r="O16" s="70">
        <f t="shared" si="10"/>
        <v>0.32786122093146175</v>
      </c>
      <c r="P16" s="70">
        <f t="shared" si="11"/>
        <v>0.26154504350171859</v>
      </c>
      <c r="Q16" s="73">
        <f t="shared" si="12"/>
        <v>223.07127218171382</v>
      </c>
      <c r="R16" s="73">
        <f t="shared" si="13"/>
        <v>228.19818258259264</v>
      </c>
      <c r="S16" s="70">
        <f t="shared" si="14"/>
        <v>8.0603970125546542</v>
      </c>
      <c r="T16" s="70">
        <f t="shared" si="15"/>
        <v>-0.19982864507299022</v>
      </c>
      <c r="U16" s="70">
        <f t="shared" si="16"/>
        <v>6.1695220796934818</v>
      </c>
      <c r="V16" s="72">
        <f t="shared" si="17"/>
        <v>2.6223755507400779</v>
      </c>
      <c r="W16" s="74">
        <f t="shared" si="39"/>
        <v>33.770491370592993</v>
      </c>
      <c r="X16" s="75"/>
      <c r="Y16" s="44">
        <f t="shared" si="40"/>
        <v>0.45782092094663418</v>
      </c>
      <c r="Z16" s="45">
        <f t="shared" si="18"/>
        <v>26.231206543034645</v>
      </c>
      <c r="AA16" s="46">
        <f t="shared" si="41"/>
        <v>26.231206543034645</v>
      </c>
      <c r="AB16" s="47">
        <f t="shared" si="42"/>
        <v>5.902904005594678E-7</v>
      </c>
      <c r="AC16" s="48">
        <f>(Fx*G16+Fy*H16)/Data!AB16</f>
        <v>133.03272200078115</v>
      </c>
      <c r="AD16" s="118">
        <f t="shared" si="43"/>
        <v>25.59865729577951</v>
      </c>
      <c r="AE16" s="85">
        <f t="shared" si="19"/>
        <v>0.44678085390102035</v>
      </c>
      <c r="AF16" s="72">
        <f t="shared" si="20"/>
        <v>-0.45334383979922599</v>
      </c>
      <c r="AG16" s="75">
        <f t="shared" si="21"/>
        <v>0.44651430139532261</v>
      </c>
      <c r="AH16" s="87" t="s">
        <v>36</v>
      </c>
      <c r="AI16" s="87" t="s">
        <v>36</v>
      </c>
      <c r="AJ16" s="75">
        <f t="shared" si="22"/>
        <v>2.6948117996887726</v>
      </c>
      <c r="AK16" s="75">
        <f t="shared" si="23"/>
        <v>7.647882915351393</v>
      </c>
      <c r="AL16" s="75">
        <f t="shared" si="24"/>
        <v>0.11891889292901014</v>
      </c>
      <c r="AM16" s="75">
        <f t="shared" si="25"/>
        <v>0.33890202801762404</v>
      </c>
      <c r="AN16" s="75">
        <f t="shared" si="26"/>
        <v>2.6837717326431587</v>
      </c>
      <c r="AO16" s="75">
        <f t="shared" si="27"/>
        <v>1.1040067045614055E-2</v>
      </c>
      <c r="AP16" s="75">
        <f t="shared" si="28"/>
        <v>0.32786196097200881</v>
      </c>
      <c r="AQ16" s="75">
        <f t="shared" si="29"/>
        <v>0.26154529434273166</v>
      </c>
      <c r="AR16" s="88">
        <f t="shared" si="30"/>
        <v>223.08001590913477</v>
      </c>
      <c r="AS16" s="88">
        <f t="shared" si="31"/>
        <v>228.20692432339607</v>
      </c>
      <c r="AT16" s="75">
        <f t="shared" si="32"/>
        <v>8.0603970125546542</v>
      </c>
      <c r="AU16" s="75">
        <f t="shared" si="33"/>
        <v>-0.19982864507299022</v>
      </c>
      <c r="AV16" s="75">
        <f t="shared" si="34"/>
        <v>6.1695231122142369</v>
      </c>
      <c r="AW16" s="72">
        <f t="shared" si="35"/>
        <v>2.622374267030203</v>
      </c>
    </row>
    <row r="17" spans="1:49">
      <c r="A17" s="157"/>
      <c r="B17" s="57">
        <f t="shared" si="36"/>
        <v>14</v>
      </c>
      <c r="C17" s="70">
        <f t="shared" si="37"/>
        <v>0.46946564351844267</v>
      </c>
      <c r="D17" s="71">
        <f t="shared" si="38"/>
        <v>26.898399999999995</v>
      </c>
      <c r="E17" s="72">
        <f t="shared" si="0"/>
        <v>-0.47435694373601045</v>
      </c>
      <c r="F17" s="70">
        <f t="shared" si="1"/>
        <v>0.48827763529179247</v>
      </c>
      <c r="G17" s="73">
        <f t="shared" si="2"/>
        <v>-9.4937337546951994E-7</v>
      </c>
      <c r="H17" s="73">
        <f t="shared" si="3"/>
        <v>1.8608089609184475E-6</v>
      </c>
      <c r="I17" s="70">
        <f t="shared" si="4"/>
        <v>2.6721270100713506</v>
      </c>
      <c r="J17" s="70">
        <f t="shared" si="5"/>
        <v>7.6321645237124773</v>
      </c>
      <c r="K17" s="70">
        <f t="shared" si="6"/>
        <v>0.1248048933643604</v>
      </c>
      <c r="L17" s="70">
        <f t="shared" si="7"/>
        <v>0.34650025369266158</v>
      </c>
      <c r="M17" s="70">
        <f t="shared" si="8"/>
        <v>2.6702875065327714</v>
      </c>
      <c r="N17" s="70">
        <f t="shared" si="9"/>
        <v>1.8395035385790903E-3</v>
      </c>
      <c r="O17" s="70">
        <f t="shared" si="10"/>
        <v>0.34466075015408082</v>
      </c>
      <c r="P17" s="70">
        <f t="shared" si="11"/>
        <v>0.26731180370048468</v>
      </c>
      <c r="Q17" s="73">
        <f t="shared" si="12"/>
        <v>1401.8659335491086</v>
      </c>
      <c r="R17" s="73">
        <f t="shared" si="13"/>
        <v>1406.9468796841645</v>
      </c>
      <c r="S17" s="70">
        <f t="shared" si="14"/>
        <v>8.0603970125546542</v>
      </c>
      <c r="T17" s="70">
        <f t="shared" si="15"/>
        <v>-0.19982864507299022</v>
      </c>
      <c r="U17" s="70">
        <f t="shared" si="16"/>
        <v>6.1936337248651725</v>
      </c>
      <c r="V17" s="72">
        <f t="shared" si="17"/>
        <v>2.5932097132493035</v>
      </c>
      <c r="W17" s="74">
        <f t="shared" si="39"/>
        <v>35.063444513709079</v>
      </c>
      <c r="X17" s="75"/>
      <c r="Y17" s="44">
        <f t="shared" si="40"/>
        <v>0.471305745489774</v>
      </c>
      <c r="Z17" s="45">
        <f t="shared" si="18"/>
        <v>27.003830076830983</v>
      </c>
      <c r="AA17" s="46">
        <f t="shared" si="41"/>
        <v>27.003830076830983</v>
      </c>
      <c r="AB17" s="47">
        <f t="shared" si="42"/>
        <v>5.9843275201920676E-7</v>
      </c>
      <c r="AC17" s="48">
        <f>(Fx*G17+Fy*H17)/Data!AB17</f>
        <v>133.76325721529838</v>
      </c>
      <c r="AD17" s="118">
        <f t="shared" si="43"/>
        <v>26.898457295779508</v>
      </c>
      <c r="AE17" s="85">
        <f t="shared" si="19"/>
        <v>0.46946664351844264</v>
      </c>
      <c r="AF17" s="72">
        <f t="shared" si="20"/>
        <v>-0.47435789310938592</v>
      </c>
      <c r="AG17" s="75">
        <f t="shared" si="21"/>
        <v>0.48827949610075339</v>
      </c>
      <c r="AH17" s="87" t="s">
        <v>36</v>
      </c>
      <c r="AI17" s="87" t="s">
        <v>36</v>
      </c>
      <c r="AJ17" s="75">
        <f t="shared" si="22"/>
        <v>2.6721260100713504</v>
      </c>
      <c r="AK17" s="75">
        <f t="shared" si="23"/>
        <v>7.6321638141692087</v>
      </c>
      <c r="AL17" s="75">
        <f t="shared" si="24"/>
        <v>0.12480515233402678</v>
      </c>
      <c r="AM17" s="75">
        <f t="shared" si="25"/>
        <v>0.34650059315574722</v>
      </c>
      <c r="AN17" s="75">
        <f t="shared" si="26"/>
        <v>2.6702869081000191</v>
      </c>
      <c r="AO17" s="75">
        <f t="shared" si="27"/>
        <v>1.8391019713313583E-3</v>
      </c>
      <c r="AP17" s="75">
        <f t="shared" si="28"/>
        <v>0.34466149118441458</v>
      </c>
      <c r="AQ17" s="75">
        <f t="shared" si="29"/>
        <v>0.26731206117994577</v>
      </c>
      <c r="AR17" s="88">
        <f t="shared" si="30"/>
        <v>1402.1747941441704</v>
      </c>
      <c r="AS17" s="88">
        <f t="shared" si="31"/>
        <v>1407.2557382135819</v>
      </c>
      <c r="AT17" s="75">
        <f t="shared" si="32"/>
        <v>8.0603970125546542</v>
      </c>
      <c r="AU17" s="75">
        <f t="shared" si="33"/>
        <v>-0.19982864507299022</v>
      </c>
      <c r="AV17" s="75">
        <f t="shared" si="34"/>
        <v>6.1936348179816498</v>
      </c>
      <c r="AW17" s="72">
        <f t="shared" si="35"/>
        <v>2.5932084258295118</v>
      </c>
    </row>
    <row r="18" spans="1:49">
      <c r="A18" s="157"/>
      <c r="B18" s="57">
        <f t="shared" si="36"/>
        <v>15</v>
      </c>
      <c r="C18" s="70">
        <f t="shared" si="37"/>
        <v>0.49215143313586496</v>
      </c>
      <c r="D18" s="71">
        <f t="shared" si="38"/>
        <v>28.198199999999996</v>
      </c>
      <c r="E18" s="72">
        <f t="shared" si="0"/>
        <v>-0.49641231675992081</v>
      </c>
      <c r="F18" s="70">
        <f t="shared" si="1"/>
        <v>0.53090695699526169</v>
      </c>
      <c r="G18" s="73">
        <f t="shared" si="2"/>
        <v>-9.9493401073402765E-7</v>
      </c>
      <c r="H18" s="73">
        <f t="shared" si="3"/>
        <v>1.896718659133434E-6</v>
      </c>
      <c r="I18" s="70">
        <f t="shared" si="4"/>
        <v>2.6494412204539284</v>
      </c>
      <c r="J18" s="70">
        <f t="shared" si="5"/>
        <v>7.6156916978150937</v>
      </c>
      <c r="K18" s="70">
        <f t="shared" si="6"/>
        <v>0.1306680880736153</v>
      </c>
      <c r="L18" s="70">
        <f t="shared" si="7"/>
        <v>0.35429917654111431</v>
      </c>
      <c r="M18" s="70">
        <f t="shared" si="8"/>
        <v>2.6566253889750637</v>
      </c>
      <c r="N18" s="70">
        <f t="shared" si="9"/>
        <v>-7.1841685211355699E-3</v>
      </c>
      <c r="O18" s="70">
        <f t="shared" si="10"/>
        <v>0.36148334506224855</v>
      </c>
      <c r="P18" s="70">
        <f t="shared" si="11"/>
        <v>0.27322364284782963</v>
      </c>
      <c r="Q18" s="73">
        <f t="shared" si="12"/>
        <v>-374.90834235512102</v>
      </c>
      <c r="R18" s="73">
        <f t="shared" si="13"/>
        <v>-369.8751531657357</v>
      </c>
      <c r="S18" s="70">
        <f t="shared" si="14"/>
        <v>8.0603970125546542</v>
      </c>
      <c r="T18" s="70">
        <f t="shared" si="15"/>
        <v>-0.19982864507299022</v>
      </c>
      <c r="U18" s="70">
        <f t="shared" si="16"/>
        <v>6.2191147116193335</v>
      </c>
      <c r="V18" s="72">
        <f t="shared" si="17"/>
        <v>2.563970226922796</v>
      </c>
      <c r="W18" s="74">
        <f t="shared" si="39"/>
        <v>36.366031634708449</v>
      </c>
      <c r="X18" s="75"/>
      <c r="Y18" s="44">
        <f t="shared" si="40"/>
        <v>0.48496787054218649</v>
      </c>
      <c r="Z18" s="45">
        <f t="shared" si="18"/>
        <v>27.786612181514169</v>
      </c>
      <c r="AA18" s="46">
        <f t="shared" si="41"/>
        <v>27.786612181514169</v>
      </c>
      <c r="AB18" s="47">
        <f t="shared" si="42"/>
        <v>6.0592745687593208E-7</v>
      </c>
      <c r="AC18" s="48">
        <f>(Fx*G18+Fy*H18)/Data!AB18</f>
        <v>134.28343929899879</v>
      </c>
      <c r="AD18" s="118">
        <f t="shared" si="43"/>
        <v>28.198257295779509</v>
      </c>
      <c r="AE18" s="85">
        <f t="shared" si="19"/>
        <v>0.49215243313586493</v>
      </c>
      <c r="AF18" s="72">
        <f t="shared" si="20"/>
        <v>-0.49641331169393155</v>
      </c>
      <c r="AG18" s="75">
        <f t="shared" si="21"/>
        <v>0.53090885371392083</v>
      </c>
      <c r="AH18" s="87" t="s">
        <v>36</v>
      </c>
      <c r="AI18" s="87" t="s">
        <v>36</v>
      </c>
      <c r="AJ18" s="75">
        <f t="shared" si="22"/>
        <v>2.6494402204539282</v>
      </c>
      <c r="AK18" s="75">
        <f t="shared" si="23"/>
        <v>7.6156909551239478</v>
      </c>
      <c r="AL18" s="75">
        <f t="shared" si="24"/>
        <v>0.13066834599944976</v>
      </c>
      <c r="AM18" s="75">
        <f t="shared" si="25"/>
        <v>0.35429952454273672</v>
      </c>
      <c r="AN18" s="75">
        <f t="shared" si="26"/>
        <v>2.6566247830476071</v>
      </c>
      <c r="AO18" s="75">
        <f t="shared" si="27"/>
        <v>-7.1845625936788893E-3</v>
      </c>
      <c r="AP18" s="75">
        <f t="shared" si="28"/>
        <v>0.36148408713641356</v>
      </c>
      <c r="AQ18" s="75">
        <f t="shared" si="29"/>
        <v>0.27322390648383021</v>
      </c>
      <c r="AR18" s="88">
        <f t="shared" si="30"/>
        <v>-374.88847823895139</v>
      </c>
      <c r="AS18" s="88">
        <f t="shared" si="31"/>
        <v>-369.85529119420346</v>
      </c>
      <c r="AT18" s="75">
        <f t="shared" si="32"/>
        <v>8.0603970125546542</v>
      </c>
      <c r="AU18" s="75">
        <f t="shared" si="33"/>
        <v>-0.19982864507299022</v>
      </c>
      <c r="AV18" s="75">
        <f t="shared" si="34"/>
        <v>6.2191158648387947</v>
      </c>
      <c r="AW18" s="72">
        <f t="shared" si="35"/>
        <v>2.5639689367110723</v>
      </c>
    </row>
    <row r="19" spans="1:49">
      <c r="A19" s="157"/>
      <c r="B19" s="57">
        <f t="shared" si="36"/>
        <v>16</v>
      </c>
      <c r="C19" s="70">
        <f t="shared" si="37"/>
        <v>0.51483722275328725</v>
      </c>
      <c r="D19" s="71">
        <f t="shared" si="38"/>
        <v>29.497999999999994</v>
      </c>
      <c r="E19" s="72">
        <f t="shared" si="0"/>
        <v>-0.51949320808252164</v>
      </c>
      <c r="F19" s="70">
        <f t="shared" si="1"/>
        <v>0.57430324243672115</v>
      </c>
      <c r="G19" s="73">
        <f t="shared" si="2"/>
        <v>-1.0397783585247566E-6</v>
      </c>
      <c r="H19" s="73">
        <f t="shared" si="3"/>
        <v>1.9284652200690644E-6</v>
      </c>
      <c r="I19" s="70">
        <f t="shared" si="4"/>
        <v>2.6267554308365058</v>
      </c>
      <c r="J19" s="70">
        <f t="shared" si="5"/>
        <v>7.5984687173518353</v>
      </c>
      <c r="K19" s="70">
        <f t="shared" si="6"/>
        <v>0.13650698252175753</v>
      </c>
      <c r="L19" s="70">
        <f t="shared" si="7"/>
        <v>0.36228541710678663</v>
      </c>
      <c r="M19" s="70">
        <f t="shared" si="8"/>
        <v>2.6428002539612487</v>
      </c>
      <c r="N19" s="70">
        <f t="shared" si="9"/>
        <v>-1.6044823124742869E-2</v>
      </c>
      <c r="O19" s="70">
        <f t="shared" si="10"/>
        <v>0.37833024023153095</v>
      </c>
      <c r="P19" s="70">
        <f t="shared" si="11"/>
        <v>0.27926994701002972</v>
      </c>
      <c r="Q19" s="73">
        <f t="shared" si="12"/>
        <v>-174.93253257172424</v>
      </c>
      <c r="R19" s="73">
        <f t="shared" si="13"/>
        <v>-169.9488906183787</v>
      </c>
      <c r="S19" s="70">
        <f t="shared" si="14"/>
        <v>8.0603970125546542</v>
      </c>
      <c r="T19" s="70">
        <f t="shared" si="15"/>
        <v>-0.19982864507299022</v>
      </c>
      <c r="U19" s="70">
        <f t="shared" si="16"/>
        <v>6.2459522876546174</v>
      </c>
      <c r="V19" s="72">
        <f t="shared" si="17"/>
        <v>2.5346773062627248</v>
      </c>
      <c r="W19" s="74">
        <f t="shared" si="39"/>
        <v>37.677715335954112</v>
      </c>
      <c r="X19" s="75"/>
      <c r="Y19" s="44">
        <f t="shared" si="40"/>
        <v>0.49879301243893126</v>
      </c>
      <c r="Z19" s="45">
        <f t="shared" si="18"/>
        <v>28.578734463367137</v>
      </c>
      <c r="AA19" s="46">
        <f t="shared" si="41"/>
        <v>28.578734463367137</v>
      </c>
      <c r="AB19" s="47">
        <f t="shared" si="42"/>
        <v>6.1281038710170321E-7</v>
      </c>
      <c r="AC19" s="48">
        <f>(Fx*G19+Fy*H19)/Data!AB19</f>
        <v>134.61408204095829</v>
      </c>
      <c r="AD19" s="118">
        <f t="shared" si="43"/>
        <v>29.49805729577951</v>
      </c>
      <c r="AE19" s="85">
        <f t="shared" si="19"/>
        <v>0.51483822275328728</v>
      </c>
      <c r="AF19" s="72">
        <f t="shared" si="20"/>
        <v>-0.51949424786088017</v>
      </c>
      <c r="AG19" s="75">
        <f t="shared" si="21"/>
        <v>0.57430517090194122</v>
      </c>
      <c r="AH19" s="87" t="s">
        <v>36</v>
      </c>
      <c r="AI19" s="87" t="s">
        <v>36</v>
      </c>
      <c r="AJ19" s="75">
        <f t="shared" si="22"/>
        <v>2.6267544308365061</v>
      </c>
      <c r="AK19" s="75">
        <f t="shared" si="23"/>
        <v>7.598467941675568</v>
      </c>
      <c r="AL19" s="75">
        <f t="shared" si="24"/>
        <v>0.13650723934895748</v>
      </c>
      <c r="AM19" s="75">
        <f t="shared" si="25"/>
        <v>0.36228577308997378</v>
      </c>
      <c r="AN19" s="75">
        <f t="shared" si="26"/>
        <v>2.6427996411508619</v>
      </c>
      <c r="AO19" s="75">
        <f t="shared" si="27"/>
        <v>-1.6045210314356018E-2</v>
      </c>
      <c r="AP19" s="75">
        <f t="shared" si="28"/>
        <v>0.37833098340432869</v>
      </c>
      <c r="AQ19" s="75">
        <f t="shared" si="29"/>
        <v>0.27927021634863047</v>
      </c>
      <c r="AR19" s="88">
        <f t="shared" si="30"/>
        <v>-174.92862081805654</v>
      </c>
      <c r="AS19" s="88">
        <f t="shared" si="31"/>
        <v>-169.94498108816649</v>
      </c>
      <c r="AT19" s="75">
        <f t="shared" si="32"/>
        <v>8.0603970125546542</v>
      </c>
      <c r="AU19" s="75">
        <f t="shared" si="33"/>
        <v>-0.19982864507299022</v>
      </c>
      <c r="AV19" s="75">
        <f t="shared" si="34"/>
        <v>6.2459535003471878</v>
      </c>
      <c r="AW19" s="72">
        <f t="shared" si="35"/>
        <v>2.5346760141231415</v>
      </c>
    </row>
    <row r="20" spans="1:49" ht="13.15" customHeight="1">
      <c r="A20" s="157"/>
      <c r="B20" s="57">
        <f t="shared" si="36"/>
        <v>17</v>
      </c>
      <c r="C20" s="70">
        <f t="shared" si="37"/>
        <v>0.53752301237070954</v>
      </c>
      <c r="D20" s="71">
        <f t="shared" si="38"/>
        <v>30.797799999999999</v>
      </c>
      <c r="E20" s="72">
        <f t="shared" si="0"/>
        <v>-0.54358300318069563</v>
      </c>
      <c r="F20" s="70">
        <f t="shared" si="1"/>
        <v>0.6183747599502587</v>
      </c>
      <c r="G20" s="73">
        <f t="shared" si="2"/>
        <v>-1.0838749728847574E-6</v>
      </c>
      <c r="H20" s="73">
        <f t="shared" si="3"/>
        <v>1.9562865971600729E-6</v>
      </c>
      <c r="I20" s="70">
        <f t="shared" si="4"/>
        <v>2.6040696412190836</v>
      </c>
      <c r="J20" s="70">
        <f t="shared" si="5"/>
        <v>7.5804993636652416</v>
      </c>
      <c r="K20" s="70">
        <f t="shared" si="6"/>
        <v>0.14232032448579424</v>
      </c>
      <c r="L20" s="70">
        <f t="shared" si="7"/>
        <v>0.37044674551319856</v>
      </c>
      <c r="M20" s="70">
        <f t="shared" si="8"/>
        <v>2.6288255835908001</v>
      </c>
      <c r="N20" s="70">
        <f t="shared" si="9"/>
        <v>-2.4755942371716522E-2</v>
      </c>
      <c r="O20" s="70">
        <f t="shared" si="10"/>
        <v>0.39520268788491597</v>
      </c>
      <c r="P20" s="70">
        <f t="shared" si="11"/>
        <v>0.28544072786560992</v>
      </c>
      <c r="Q20" s="73">
        <f t="shared" si="12"/>
        <v>-117.90116525149156</v>
      </c>
      <c r="R20" s="73">
        <f t="shared" si="13"/>
        <v>-112.96885536126972</v>
      </c>
      <c r="S20" s="70">
        <f t="shared" si="14"/>
        <v>8.0603970125546542</v>
      </c>
      <c r="T20" s="70">
        <f t="shared" si="15"/>
        <v>-0.19982864507299022</v>
      </c>
      <c r="U20" s="70">
        <f t="shared" si="16"/>
        <v>6.2741307016470751</v>
      </c>
      <c r="V20" s="72">
        <f t="shared" si="17"/>
        <v>2.5053499402834118</v>
      </c>
      <c r="W20" s="74">
        <f t="shared" si="39"/>
        <v>38.997995075873355</v>
      </c>
      <c r="X20" s="75"/>
      <c r="Y20" s="44">
        <f t="shared" si="40"/>
        <v>0.51276768911527837</v>
      </c>
      <c r="Z20" s="45">
        <f t="shared" si="18"/>
        <v>29.379424456981731</v>
      </c>
      <c r="AA20" s="46">
        <f t="shared" si="41"/>
        <v>29.379424456981731</v>
      </c>
      <c r="AB20" s="47">
        <f t="shared" si="42"/>
        <v>6.1911628557176357E-7</v>
      </c>
      <c r="AC20" s="48">
        <f>(Fx*G20+Fy*H20)/Data!AB20</f>
        <v>134.77351666108589</v>
      </c>
      <c r="AD20" s="118">
        <f t="shared" si="43"/>
        <v>30.797857295779512</v>
      </c>
      <c r="AE20" s="85">
        <f t="shared" si="19"/>
        <v>0.53752401237070957</v>
      </c>
      <c r="AF20" s="72">
        <f t="shared" si="20"/>
        <v>-0.54358408705566852</v>
      </c>
      <c r="AG20" s="75">
        <f t="shared" si="21"/>
        <v>0.61837671623685586</v>
      </c>
      <c r="AH20" s="87" t="s">
        <v>36</v>
      </c>
      <c r="AI20" s="87" t="s">
        <v>36</v>
      </c>
      <c r="AJ20" s="75">
        <f t="shared" si="22"/>
        <v>2.6040686412190834</v>
      </c>
      <c r="AK20" s="75">
        <f t="shared" si="23"/>
        <v>7.5804985551744721</v>
      </c>
      <c r="AL20" s="75">
        <f t="shared" si="24"/>
        <v>0.14232058015876037</v>
      </c>
      <c r="AM20" s="75">
        <f t="shared" si="25"/>
        <v>0.370447108956518</v>
      </c>
      <c r="AN20" s="75">
        <f t="shared" si="26"/>
        <v>2.6288249644745147</v>
      </c>
      <c r="AO20" s="75">
        <f t="shared" si="27"/>
        <v>-2.4756323255431201E-2</v>
      </c>
      <c r="AP20" s="75">
        <f t="shared" si="28"/>
        <v>0.39520343221194887</v>
      </c>
      <c r="AQ20" s="75">
        <f t="shared" si="29"/>
        <v>0.28544100248001181</v>
      </c>
      <c r="AR20" s="88">
        <f t="shared" si="30"/>
        <v>-117.89954947127363</v>
      </c>
      <c r="AS20" s="88">
        <f t="shared" si="31"/>
        <v>-112.96724188302032</v>
      </c>
      <c r="AT20" s="75">
        <f t="shared" si="32"/>
        <v>8.0603970125546542</v>
      </c>
      <c r="AU20" s="75">
        <f t="shared" si="33"/>
        <v>-0.19982864507299022</v>
      </c>
      <c r="AV20" s="75">
        <f t="shared" si="34"/>
        <v>6.2741319730556073</v>
      </c>
      <c r="AW20" s="72">
        <f t="shared" si="35"/>
        <v>2.5053486470260067</v>
      </c>
    </row>
    <row r="21" spans="1:49">
      <c r="A21" s="157"/>
      <c r="B21" s="57">
        <f t="shared" si="36"/>
        <v>18</v>
      </c>
      <c r="C21" s="70">
        <f t="shared" si="37"/>
        <v>0.56020880198813183</v>
      </c>
      <c r="D21" s="71">
        <f t="shared" si="38"/>
        <v>32.0976</v>
      </c>
      <c r="E21" s="72">
        <f t="shared" si="0"/>
        <v>-0.56866442078011215</v>
      </c>
      <c r="F21" s="70">
        <f t="shared" si="1"/>
        <v>0.66303508835293012</v>
      </c>
      <c r="G21" s="73">
        <f t="shared" si="2"/>
        <v>-1.1271963868964008E-6</v>
      </c>
      <c r="H21" s="73">
        <f t="shared" si="3"/>
        <v>1.9804127735500998E-6</v>
      </c>
      <c r="I21" s="70">
        <f t="shared" si="4"/>
        <v>2.5813838516016614</v>
      </c>
      <c r="J21" s="70">
        <f t="shared" si="5"/>
        <v>7.5617875971668074</v>
      </c>
      <c r="K21" s="70">
        <f t="shared" si="6"/>
        <v>0.14810684312635258</v>
      </c>
      <c r="L21" s="70">
        <f t="shared" si="7"/>
        <v>0.37877172291316374</v>
      </c>
      <c r="M21" s="70">
        <f t="shared" si="8"/>
        <v>2.6147140875502766</v>
      </c>
      <c r="N21" s="70">
        <f t="shared" si="9"/>
        <v>-3.3330235948615283E-2</v>
      </c>
      <c r="O21" s="70">
        <f t="shared" si="10"/>
        <v>0.41210195886177847</v>
      </c>
      <c r="P21" s="70">
        <f t="shared" si="11"/>
        <v>0.29172660110629822</v>
      </c>
      <c r="Q21" s="73">
        <f t="shared" si="12"/>
        <v>-90.888360264766845</v>
      </c>
      <c r="R21" s="73">
        <f t="shared" si="13"/>
        <v>-86.009158963220571</v>
      </c>
      <c r="S21" s="70">
        <f t="shared" si="14"/>
        <v>8.0603970125546542</v>
      </c>
      <c r="T21" s="70">
        <f t="shared" si="15"/>
        <v>-0.19982864507299022</v>
      </c>
      <c r="U21" s="70">
        <f t="shared" si="16"/>
        <v>6.3036314255151087</v>
      </c>
      <c r="V21" s="72">
        <f t="shared" si="17"/>
        <v>2.4760058958133437</v>
      </c>
      <c r="W21" s="74">
        <f t="shared" si="39"/>
        <v>40.326405986941161</v>
      </c>
      <c r="X21" s="75"/>
      <c r="Y21" s="44">
        <f t="shared" si="40"/>
        <v>0.52687919091798041</v>
      </c>
      <c r="Z21" s="45">
        <f t="shared" si="18"/>
        <v>30.187953952867815</v>
      </c>
      <c r="AA21" s="46">
        <f t="shared" si="41"/>
        <v>30.187953952867815</v>
      </c>
      <c r="AB21" s="47">
        <f t="shared" si="42"/>
        <v>6.2487846408387782E-7</v>
      </c>
      <c r="AC21" s="48">
        <f>(Fx*G21+Fy*H21)/Data!AB21</f>
        <v>134.77794810243196</v>
      </c>
      <c r="AD21" s="118">
        <f t="shared" si="43"/>
        <v>32.097657295779513</v>
      </c>
      <c r="AE21" s="85">
        <f t="shared" si="19"/>
        <v>0.56020980198813186</v>
      </c>
      <c r="AF21" s="72">
        <f t="shared" si="20"/>
        <v>-0.56866554797649904</v>
      </c>
      <c r="AG21" s="75">
        <f t="shared" si="21"/>
        <v>0.66303706876570367</v>
      </c>
      <c r="AH21" s="87" t="s">
        <v>36</v>
      </c>
      <c r="AI21" s="87" t="s">
        <v>36</v>
      </c>
      <c r="AJ21" s="75">
        <f t="shared" si="22"/>
        <v>2.5813828516016613</v>
      </c>
      <c r="AK21" s="75">
        <f t="shared" si="23"/>
        <v>7.5617867560400773</v>
      </c>
      <c r="AL21" s="75">
        <f t="shared" si="24"/>
        <v>0.14810709758863871</v>
      </c>
      <c r="AM21" s="75">
        <f t="shared" si="25"/>
        <v>0.3787720933293417</v>
      </c>
      <c r="AN21" s="75">
        <f t="shared" si="26"/>
        <v>2.6147134626718125</v>
      </c>
      <c r="AO21" s="75">
        <f t="shared" si="27"/>
        <v>-3.3330611070151228E-2</v>
      </c>
      <c r="AP21" s="75">
        <f t="shared" si="28"/>
        <v>0.41210270439949315</v>
      </c>
      <c r="AQ21" s="75">
        <f t="shared" si="29"/>
        <v>0.29172688059578022</v>
      </c>
      <c r="AR21" s="88">
        <f t="shared" si="30"/>
        <v>-90.887482634872256</v>
      </c>
      <c r="AS21" s="88">
        <f t="shared" si="31"/>
        <v>-86.008283713382326</v>
      </c>
      <c r="AT21" s="75">
        <f t="shared" si="32"/>
        <v>8.0603970125546542</v>
      </c>
      <c r="AU21" s="75">
        <f t="shared" si="33"/>
        <v>-0.19982864507299022</v>
      </c>
      <c r="AV21" s="75">
        <f t="shared" si="34"/>
        <v>6.3036327547648998</v>
      </c>
      <c r="AW21" s="72">
        <f t="shared" si="35"/>
        <v>2.4760046021945179</v>
      </c>
    </row>
    <row r="22" spans="1:49">
      <c r="A22" s="157"/>
      <c r="B22" s="57">
        <f t="shared" si="36"/>
        <v>19</v>
      </c>
      <c r="C22" s="70">
        <f t="shared" si="37"/>
        <v>0.58289459160555412</v>
      </c>
      <c r="D22" s="71">
        <f t="shared" si="38"/>
        <v>33.397399999999998</v>
      </c>
      <c r="E22" s="72">
        <f t="shared" si="0"/>
        <v>-0.59471959452799705</v>
      </c>
      <c r="F22" s="70">
        <f t="shared" si="1"/>
        <v>0.70820292124264628</v>
      </c>
      <c r="G22" s="73">
        <f t="shared" si="2"/>
        <v>-1.1697183674996836E-6</v>
      </c>
      <c r="H22" s="73">
        <f t="shared" si="3"/>
        <v>2.0010644957713097E-6</v>
      </c>
      <c r="I22" s="70">
        <f t="shared" si="4"/>
        <v>2.5586980619842388</v>
      </c>
      <c r="J22" s="70">
        <f t="shared" si="5"/>
        <v>7.542337558589689</v>
      </c>
      <c r="K22" s="70">
        <f t="shared" si="6"/>
        <v>0.15386524799696022</v>
      </c>
      <c r="L22" s="70">
        <f t="shared" si="7"/>
        <v>0.38724966776227832</v>
      </c>
      <c r="M22" s="70">
        <f t="shared" si="8"/>
        <v>2.6004777378305546</v>
      </c>
      <c r="N22" s="70">
        <f t="shared" si="9"/>
        <v>-4.1779675846315589E-2</v>
      </c>
      <c r="O22" s="70">
        <f t="shared" si="10"/>
        <v>0.42902934360859302</v>
      </c>
      <c r="P22" s="70">
        <f t="shared" si="11"/>
        <v>0.29811876048739383</v>
      </c>
      <c r="Q22" s="73">
        <f t="shared" si="12"/>
        <v>-75.118755169789253</v>
      </c>
      <c r="R22" s="73">
        <f t="shared" si="13"/>
        <v>-70.294428058786409</v>
      </c>
      <c r="S22" s="70">
        <f t="shared" si="14"/>
        <v>8.0603970125546542</v>
      </c>
      <c r="T22" s="70">
        <f t="shared" si="15"/>
        <v>-0.19982864507299022</v>
      </c>
      <c r="U22" s="70">
        <f t="shared" si="16"/>
        <v>6.3344333725591691</v>
      </c>
      <c r="V22" s="72">
        <f t="shared" si="17"/>
        <v>2.4466617315057171</v>
      </c>
      <c r="W22" s="74">
        <f t="shared" si="39"/>
        <v>41.662517445639494</v>
      </c>
      <c r="X22" s="75"/>
      <c r="Y22" s="44">
        <f t="shared" si="40"/>
        <v>0.54111554588785427</v>
      </c>
      <c r="Z22" s="45">
        <f t="shared" si="18"/>
        <v>31.00363700829168</v>
      </c>
      <c r="AA22" s="46">
        <f t="shared" si="41"/>
        <v>31.00363700829168</v>
      </c>
      <c r="AB22" s="47">
        <f t="shared" si="42"/>
        <v>6.3012861573064072E-7</v>
      </c>
      <c r="AC22" s="48">
        <f>(Fx*G22+Fy*H22)/Data!AB22</f>
        <v>134.64174926855327</v>
      </c>
      <c r="AD22" s="118">
        <f t="shared" si="43"/>
        <v>33.39745729577951</v>
      </c>
      <c r="AE22" s="85">
        <f t="shared" si="19"/>
        <v>0.58289559160555415</v>
      </c>
      <c r="AF22" s="72">
        <f t="shared" si="20"/>
        <v>-0.59472076424636455</v>
      </c>
      <c r="AG22" s="75">
        <f t="shared" si="21"/>
        <v>0.70820492230714205</v>
      </c>
      <c r="AH22" s="87" t="s">
        <v>36</v>
      </c>
      <c r="AI22" s="87" t="s">
        <v>36</v>
      </c>
      <c r="AJ22" s="75">
        <f t="shared" si="22"/>
        <v>2.5586970619842391</v>
      </c>
      <c r="AK22" s="75">
        <f t="shared" si="23"/>
        <v>7.5423366850135194</v>
      </c>
      <c r="AL22" s="75">
        <f t="shared" si="24"/>
        <v>0.15386550119123554</v>
      </c>
      <c r="AM22" s="75">
        <f t="shared" si="25"/>
        <v>0.38725004469661872</v>
      </c>
      <c r="AN22" s="75">
        <f t="shared" si="26"/>
        <v>2.6004771077019386</v>
      </c>
      <c r="AO22" s="75">
        <f t="shared" si="27"/>
        <v>-4.1780045717699665E-2</v>
      </c>
      <c r="AP22" s="75">
        <f t="shared" si="28"/>
        <v>0.42903009041431672</v>
      </c>
      <c r="AQ22" s="75">
        <f t="shared" si="29"/>
        <v>0.2981190444760986</v>
      </c>
      <c r="AR22" s="88">
        <f t="shared" si="30"/>
        <v>-75.118204477442831</v>
      </c>
      <c r="AS22" s="88">
        <f t="shared" si="31"/>
        <v>-70.293879824047764</v>
      </c>
      <c r="AT22" s="75">
        <f t="shared" si="32"/>
        <v>8.0603970125546542</v>
      </c>
      <c r="AU22" s="75">
        <f t="shared" si="33"/>
        <v>-0.19982864507299022</v>
      </c>
      <c r="AV22" s="75">
        <f t="shared" si="34"/>
        <v>6.3344347586674541</v>
      </c>
      <c r="AW22" s="72">
        <f t="shared" si="35"/>
        <v>2.4466604382290615</v>
      </c>
    </row>
    <row r="23" spans="1:49">
      <c r="A23" s="157"/>
      <c r="B23" s="57">
        <f t="shared" si="36"/>
        <v>20</v>
      </c>
      <c r="C23" s="70">
        <f t="shared" si="37"/>
        <v>0.60558038122297642</v>
      </c>
      <c r="D23" s="71">
        <f t="shared" si="38"/>
        <v>34.697199999999995</v>
      </c>
      <c r="E23" s="72">
        <f t="shared" si="0"/>
        <v>-0.62173013897108564</v>
      </c>
      <c r="F23" s="70">
        <f t="shared" si="1"/>
        <v>0.75380184882289125</v>
      </c>
      <c r="G23" s="73">
        <f t="shared" si="2"/>
        <v>-1.2114192875500862E-6</v>
      </c>
      <c r="H23" s="73">
        <f t="shared" si="3"/>
        <v>2.0184526066113762E-6</v>
      </c>
      <c r="I23" s="70">
        <f t="shared" si="4"/>
        <v>2.5360122723668166</v>
      </c>
      <c r="J23" s="70">
        <f t="shared" si="5"/>
        <v>7.5221535703185456</v>
      </c>
      <c r="K23" s="70">
        <f t="shared" si="6"/>
        <v>0.15959422803048873</v>
      </c>
      <c r="L23" s="70">
        <f t="shared" si="7"/>
        <v>0.39587061846335714</v>
      </c>
      <c r="M23" s="70">
        <f t="shared" si="8"/>
        <v>2.5861278070959468</v>
      </c>
      <c r="N23" s="70">
        <f t="shared" si="9"/>
        <v>-5.0115534729130107E-2</v>
      </c>
      <c r="O23" s="70">
        <f t="shared" si="10"/>
        <v>0.44598615319248713</v>
      </c>
      <c r="P23" s="70">
        <f t="shared" si="11"/>
        <v>0.30460894899468816</v>
      </c>
      <c r="Q23" s="73">
        <f t="shared" si="12"/>
        <v>-64.770791768719874</v>
      </c>
      <c r="R23" s="73">
        <f t="shared" si="13"/>
        <v>-60.003091101657034</v>
      </c>
      <c r="S23" s="70">
        <f t="shared" si="14"/>
        <v>8.0603970125546542</v>
      </c>
      <c r="T23" s="70">
        <f t="shared" si="15"/>
        <v>-0.19982864507299022</v>
      </c>
      <c r="U23" s="70">
        <f t="shared" si="16"/>
        <v>6.3665131098007004</v>
      </c>
      <c r="V23" s="72">
        <f t="shared" si="17"/>
        <v>2.4173328203474216</v>
      </c>
      <c r="W23" s="74">
        <f t="shared" si="39"/>
        <v>43.005931478515897</v>
      </c>
      <c r="X23" s="75"/>
      <c r="Y23" s="44">
        <f t="shared" si="40"/>
        <v>0.55546548139053531</v>
      </c>
      <c r="Z23" s="45">
        <f t="shared" si="18"/>
        <v>31.825827748880243</v>
      </c>
      <c r="AA23" s="46">
        <f t="shared" si="41"/>
        <v>31.825827748880243</v>
      </c>
      <c r="AB23" s="47">
        <f t="shared" si="42"/>
        <v>6.3489668944427535E-7</v>
      </c>
      <c r="AC23" s="48">
        <f>(Fx*G23+Fy*H23)/Data!AB23</f>
        <v>134.37772327138728</v>
      </c>
      <c r="AD23" s="118">
        <f t="shared" si="43"/>
        <v>34.697257295779508</v>
      </c>
      <c r="AE23" s="85">
        <f t="shared" si="19"/>
        <v>0.60558138122297644</v>
      </c>
      <c r="AF23" s="72">
        <f t="shared" si="20"/>
        <v>-0.62173135039037319</v>
      </c>
      <c r="AG23" s="75">
        <f t="shared" si="21"/>
        <v>0.75380386727549786</v>
      </c>
      <c r="AH23" s="87" t="s">
        <v>36</v>
      </c>
      <c r="AI23" s="87" t="s">
        <v>36</v>
      </c>
      <c r="AJ23" s="75">
        <f t="shared" si="22"/>
        <v>2.5360112723668164</v>
      </c>
      <c r="AK23" s="75">
        <f t="shared" si="23"/>
        <v>7.5221526644874919</v>
      </c>
      <c r="AL23" s="75">
        <f t="shared" si="24"/>
        <v>0.15959447989849296</v>
      </c>
      <c r="AM23" s="75">
        <f t="shared" si="25"/>
        <v>0.39587100149204235</v>
      </c>
      <c r="AN23" s="75">
        <f t="shared" si="26"/>
        <v>2.5861271721992578</v>
      </c>
      <c r="AO23" s="75">
        <f t="shared" si="27"/>
        <v>-5.0115899832441135E-2</v>
      </c>
      <c r="AP23" s="75">
        <f t="shared" si="28"/>
        <v>0.44598690132448349</v>
      </c>
      <c r="AQ23" s="75">
        <f t="shared" si="29"/>
        <v>0.3046092371303033</v>
      </c>
      <c r="AR23" s="88">
        <f t="shared" si="30"/>
        <v>-64.770413846961276</v>
      </c>
      <c r="AS23" s="88">
        <f t="shared" si="31"/>
        <v>-60.002715714418535</v>
      </c>
      <c r="AT23" s="75">
        <f t="shared" si="32"/>
        <v>8.0603970125546542</v>
      </c>
      <c r="AU23" s="75">
        <f t="shared" si="33"/>
        <v>-0.19982864507299022</v>
      </c>
      <c r="AV23" s="75">
        <f t="shared" si="34"/>
        <v>6.3665145516858743</v>
      </c>
      <c r="AW23" s="72">
        <f t="shared" si="35"/>
        <v>2.4173315280648566</v>
      </c>
    </row>
    <row r="24" spans="1:49">
      <c r="A24" s="157"/>
      <c r="B24" s="57">
        <f t="shared" si="36"/>
        <v>21</v>
      </c>
      <c r="C24" s="70">
        <f t="shared" si="37"/>
        <v>0.62826617084039871</v>
      </c>
      <c r="D24" s="71">
        <f t="shared" si="38"/>
        <v>35.996999999999993</v>
      </c>
      <c r="E24" s="72">
        <f t="shared" si="0"/>
        <v>-0.64967720232080239</v>
      </c>
      <c r="F24" s="70">
        <f t="shared" si="1"/>
        <v>0.79976012672433516</v>
      </c>
      <c r="G24" s="73">
        <f t="shared" si="2"/>
        <v>-1.2522795831415579E-6</v>
      </c>
      <c r="H24" s="73">
        <f t="shared" si="3"/>
        <v>2.0327775481776555E-6</v>
      </c>
      <c r="I24" s="70">
        <f t="shared" si="4"/>
        <v>2.5133264827493944</v>
      </c>
      <c r="J24" s="70">
        <f t="shared" si="5"/>
        <v>7.501240137799698</v>
      </c>
      <c r="K24" s="70">
        <f t="shared" si="6"/>
        <v>0.16529245050162755</v>
      </c>
      <c r="L24" s="70">
        <f t="shared" si="7"/>
        <v>0.40462529389196367</v>
      </c>
      <c r="M24" s="70">
        <f t="shared" si="8"/>
        <v>2.5716749091962017</v>
      </c>
      <c r="N24" s="70">
        <f t="shared" si="9"/>
        <v>-5.8348426446807267E-2</v>
      </c>
      <c r="O24" s="70">
        <f t="shared" si="10"/>
        <v>0.46297372033877005</v>
      </c>
      <c r="P24" s="70">
        <f t="shared" si="11"/>
        <v>0.31118942830866447</v>
      </c>
      <c r="Q24" s="73">
        <f t="shared" si="12"/>
        <v>-57.448613177542256</v>
      </c>
      <c r="R24" s="73">
        <f t="shared" si="13"/>
        <v>-52.739275614253664</v>
      </c>
      <c r="S24" s="70">
        <f t="shared" si="14"/>
        <v>8.0603970125546542</v>
      </c>
      <c r="T24" s="70">
        <f t="shared" si="15"/>
        <v>-0.19982864507299022</v>
      </c>
      <c r="U24" s="70">
        <f t="shared" si="16"/>
        <v>6.3998450632785362</v>
      </c>
      <c r="V24" s="72">
        <f t="shared" si="17"/>
        <v>2.3880333788061545</v>
      </c>
      <c r="W24" s="74">
        <f t="shared" si="39"/>
        <v>44.356281072056987</v>
      </c>
      <c r="X24" s="75"/>
      <c r="Y24" s="44">
        <f t="shared" si="40"/>
        <v>0.56991838360440306</v>
      </c>
      <c r="Z24" s="45">
        <f t="shared" si="18"/>
        <v>32.653918047450148</v>
      </c>
      <c r="AA24" s="46">
        <f t="shared" si="41"/>
        <v>32.653918047450148</v>
      </c>
      <c r="AB24" s="47">
        <f t="shared" si="42"/>
        <v>6.3921081183693218E-7</v>
      </c>
      <c r="AC24" s="48">
        <f>(Fx*G24+Fy*H24)/Data!AB24</f>
        <v>133.99731574233601</v>
      </c>
      <c r="AD24" s="118">
        <f t="shared" si="43"/>
        <v>35.997057295779513</v>
      </c>
      <c r="AE24" s="85">
        <f t="shared" si="19"/>
        <v>0.62826717084039874</v>
      </c>
      <c r="AF24" s="72">
        <f t="shared" si="20"/>
        <v>-0.64967845460038554</v>
      </c>
      <c r="AG24" s="75">
        <f t="shared" si="21"/>
        <v>0.79976215950188334</v>
      </c>
      <c r="AH24" s="87" t="s">
        <v>36</v>
      </c>
      <c r="AI24" s="87" t="s">
        <v>36</v>
      </c>
      <c r="AJ24" s="75">
        <f t="shared" si="22"/>
        <v>2.5133254827493943</v>
      </c>
      <c r="AK24" s="75">
        <f t="shared" si="23"/>
        <v>7.5012391999164194</v>
      </c>
      <c r="AL24" s="75">
        <f t="shared" si="24"/>
        <v>0.16529270098411941</v>
      </c>
      <c r="AM24" s="75">
        <f t="shared" si="25"/>
        <v>0.40462568262028364</v>
      </c>
      <c r="AN24" s="75">
        <f t="shared" si="26"/>
        <v>2.5716742699853898</v>
      </c>
      <c r="AO24" s="75">
        <f t="shared" si="27"/>
        <v>-5.8348787235995458E-2</v>
      </c>
      <c r="AP24" s="75">
        <f t="shared" si="28"/>
        <v>0.46297446985627788</v>
      </c>
      <c r="AQ24" s="75">
        <f t="shared" si="29"/>
        <v>0.31118972026105629</v>
      </c>
      <c r="AR24" s="88">
        <f t="shared" si="30"/>
        <v>-57.448337437056679</v>
      </c>
      <c r="AS24" s="88">
        <f t="shared" si="31"/>
        <v>-52.739002484466084</v>
      </c>
      <c r="AT24" s="75">
        <f t="shared" si="32"/>
        <v>8.0603970125546542</v>
      </c>
      <c r="AU24" s="75">
        <f t="shared" si="33"/>
        <v>-0.19982864507299022</v>
      </c>
      <c r="AV24" s="75">
        <f t="shared" si="34"/>
        <v>6.3998465597690277</v>
      </c>
      <c r="AW24" s="72">
        <f t="shared" si="35"/>
        <v>2.388032088119346</v>
      </c>
    </row>
    <row r="25" spans="1:49">
      <c r="A25" s="157"/>
      <c r="B25" s="57">
        <f t="shared" si="36"/>
        <v>22</v>
      </c>
      <c r="C25" s="70">
        <f t="shared" si="37"/>
        <v>0.650951960457821</v>
      </c>
      <c r="D25" s="71">
        <f t="shared" si="38"/>
        <v>37.29679999999999</v>
      </c>
      <c r="E25" s="72">
        <f t="shared" si="0"/>
        <v>-0.67854150820415349</v>
      </c>
      <c r="F25" s="70">
        <f t="shared" si="1"/>
        <v>0.84601043926971231</v>
      </c>
      <c r="G25" s="73">
        <f t="shared" si="2"/>
        <v>-1.2922813192872695E-6</v>
      </c>
      <c r="H25" s="73">
        <f t="shared" si="3"/>
        <v>2.0442293234834708E-6</v>
      </c>
      <c r="I25" s="70">
        <f t="shared" si="4"/>
        <v>2.4906406931319722</v>
      </c>
      <c r="J25" s="70">
        <f t="shared" si="5"/>
        <v>7.4796019510349625</v>
      </c>
      <c r="K25" s="70">
        <f t="shared" si="6"/>
        <v>0.17095855996425113</v>
      </c>
      <c r="L25" s="70">
        <f t="shared" si="7"/>
        <v>0.4135050529927522</v>
      </c>
      <c r="M25" s="70">
        <f t="shared" si="8"/>
        <v>2.5571290406327898</v>
      </c>
      <c r="N25" s="70">
        <f t="shared" si="9"/>
        <v>-6.6488347500817668E-2</v>
      </c>
      <c r="O25" s="70">
        <f t="shared" si="10"/>
        <v>0.4799934004935682</v>
      </c>
      <c r="P25" s="70">
        <f t="shared" si="11"/>
        <v>0.31785294749717319</v>
      </c>
      <c r="Q25" s="73">
        <f t="shared" si="12"/>
        <v>-51.98545073798509</v>
      </c>
      <c r="R25" s="73">
        <f t="shared" si="13"/>
        <v>-47.336195262928385</v>
      </c>
      <c r="S25" s="70">
        <f t="shared" si="14"/>
        <v>8.0603970125546542</v>
      </c>
      <c r="T25" s="70">
        <f t="shared" si="15"/>
        <v>-0.19982864507299022</v>
      </c>
      <c r="U25" s="70">
        <f t="shared" si="16"/>
        <v>6.4344017154073194</v>
      </c>
      <c r="V25" s="72">
        <f t="shared" si="17"/>
        <v>2.3587765010652326</v>
      </c>
      <c r="W25" s="74">
        <f t="shared" si="39"/>
        <v>45.713228439795472</v>
      </c>
      <c r="X25" s="75"/>
      <c r="Y25" s="44">
        <f t="shared" si="40"/>
        <v>0.58446425605428409</v>
      </c>
      <c r="Z25" s="45">
        <f t="shared" si="18"/>
        <v>33.48733514816395</v>
      </c>
      <c r="AA25" s="46">
        <f t="shared" si="41"/>
        <v>33.48733514816395</v>
      </c>
      <c r="AB25" s="47">
        <f t="shared" si="42"/>
        <v>6.430972807613955E-7</v>
      </c>
      <c r="AC25" s="48">
        <f>(Fx*G25+Fy*H25)/Data!AB25</f>
        <v>133.51080271596024</v>
      </c>
      <c r="AD25" s="118">
        <f t="shared" si="43"/>
        <v>37.29685729577951</v>
      </c>
      <c r="AE25" s="85">
        <f t="shared" si="19"/>
        <v>0.65095296045782103</v>
      </c>
      <c r="AF25" s="72">
        <f t="shared" si="20"/>
        <v>-0.67854280048547277</v>
      </c>
      <c r="AG25" s="75">
        <f t="shared" si="21"/>
        <v>0.84601248349903579</v>
      </c>
      <c r="AH25" s="87" t="s">
        <v>36</v>
      </c>
      <c r="AI25" s="87" t="s">
        <v>36</v>
      </c>
      <c r="AJ25" s="75">
        <f t="shared" si="22"/>
        <v>2.4906396931319721</v>
      </c>
      <c r="AK25" s="75">
        <f t="shared" si="23"/>
        <v>7.4796009813102868</v>
      </c>
      <c r="AL25" s="75">
        <f t="shared" si="24"/>
        <v>0.17095880900096594</v>
      </c>
      <c r="AM25" s="75">
        <f t="shared" si="25"/>
        <v>0.41350544705331815</v>
      </c>
      <c r="AN25" s="75">
        <f t="shared" si="26"/>
        <v>2.557128397535509</v>
      </c>
      <c r="AO25" s="75">
        <f t="shared" si="27"/>
        <v>-6.6488704403536936E-2</v>
      </c>
      <c r="AP25" s="75">
        <f t="shared" si="28"/>
        <v>0.47999415145685465</v>
      </c>
      <c r="AQ25" s="75">
        <f t="shared" si="29"/>
        <v>0.31785324295699735</v>
      </c>
      <c r="AR25" s="88">
        <f t="shared" si="30"/>
        <v>-51.985240346342046</v>
      </c>
      <c r="AS25" s="88">
        <f t="shared" si="31"/>
        <v>-47.335987557338449</v>
      </c>
      <c r="AT25" s="75">
        <f t="shared" si="32"/>
        <v>8.0603970125546542</v>
      </c>
      <c r="AU25" s="75">
        <f t="shared" si="33"/>
        <v>-0.19982864507299022</v>
      </c>
      <c r="AV25" s="75">
        <f t="shared" si="34"/>
        <v>6.4344032652501095</v>
      </c>
      <c r="AW25" s="72">
        <f t="shared" si="35"/>
        <v>2.358775212527187</v>
      </c>
    </row>
    <row r="26" spans="1:49">
      <c r="A26" s="157"/>
      <c r="B26" s="57">
        <f t="shared" si="36"/>
        <v>23</v>
      </c>
      <c r="C26" s="70">
        <f t="shared" si="37"/>
        <v>0.67363775007524329</v>
      </c>
      <c r="D26" s="71">
        <f t="shared" si="38"/>
        <v>38.596599999999995</v>
      </c>
      <c r="E26" s="72">
        <f t="shared" si="0"/>
        <v>-0.70830338831719875</v>
      </c>
      <c r="F26" s="70">
        <f t="shared" si="1"/>
        <v>0.89248966290922294</v>
      </c>
      <c r="G26" s="73">
        <f t="shared" si="2"/>
        <v>-1.3314078222137482E-6</v>
      </c>
      <c r="H26" s="73">
        <f t="shared" si="3"/>
        <v>2.0529875108810103E-6</v>
      </c>
      <c r="I26" s="70">
        <f t="shared" si="4"/>
        <v>2.46795490351455</v>
      </c>
      <c r="J26" s="70">
        <f t="shared" si="5"/>
        <v>7.4572438861627317</v>
      </c>
      <c r="K26" s="70">
        <f t="shared" si="6"/>
        <v>0.17659117716256367</v>
      </c>
      <c r="L26" s="70">
        <f t="shared" si="7"/>
        <v>0.42250185436359278</v>
      </c>
      <c r="M26" s="70">
        <f t="shared" si="8"/>
        <v>2.5424996220636364</v>
      </c>
      <c r="N26" s="70">
        <f t="shared" si="9"/>
        <v>-7.4544718549086619E-2</v>
      </c>
      <c r="O26" s="70">
        <f t="shared" si="10"/>
        <v>0.49704657291268028</v>
      </c>
      <c r="P26" s="70">
        <f t="shared" si="11"/>
        <v>0.32459271165521764</v>
      </c>
      <c r="Q26" s="73">
        <f t="shared" si="12"/>
        <v>-47.745096019002922</v>
      </c>
      <c r="R26" s="73">
        <f t="shared" si="13"/>
        <v>-43.157622007647682</v>
      </c>
      <c r="S26" s="70">
        <f t="shared" si="14"/>
        <v>8.0603970125546542</v>
      </c>
      <c r="T26" s="70">
        <f t="shared" si="15"/>
        <v>-0.19982864507299022</v>
      </c>
      <c r="U26" s="70">
        <f t="shared" si="16"/>
        <v>6.4701537937762748</v>
      </c>
      <c r="V26" s="72">
        <f t="shared" si="17"/>
        <v>2.3295741970640504</v>
      </c>
      <c r="W26" s="74">
        <f t="shared" si="39"/>
        <v>47.076463287888977</v>
      </c>
      <c r="X26" s="75"/>
      <c r="Y26" s="44">
        <f t="shared" si="40"/>
        <v>0.59909367810672332</v>
      </c>
      <c r="Z26" s="45">
        <f t="shared" si="18"/>
        <v>34.325539288484329</v>
      </c>
      <c r="AA26" s="46">
        <f t="shared" si="41"/>
        <v>34.325539288484329</v>
      </c>
      <c r="AB26" s="47">
        <f t="shared" si="42"/>
        <v>6.4658056686539567E-7</v>
      </c>
      <c r="AC26" s="48">
        <f>(Fx*G26+Fy*H26)/Data!AB26</f>
        <v>132.92744542986816</v>
      </c>
      <c r="AD26" s="118">
        <f t="shared" si="43"/>
        <v>38.596657295779508</v>
      </c>
      <c r="AE26" s="85">
        <f t="shared" si="19"/>
        <v>0.67363875007524332</v>
      </c>
      <c r="AF26" s="72">
        <f t="shared" si="20"/>
        <v>-0.70830471972502096</v>
      </c>
      <c r="AG26" s="75">
        <f t="shared" si="21"/>
        <v>0.89249171589673382</v>
      </c>
      <c r="AH26" s="87" t="s">
        <v>36</v>
      </c>
      <c r="AI26" s="87" t="s">
        <v>36</v>
      </c>
      <c r="AJ26" s="75">
        <f t="shared" si="22"/>
        <v>2.4679539035145499</v>
      </c>
      <c r="AK26" s="75">
        <f t="shared" si="23"/>
        <v>7.4572428848157291</v>
      </c>
      <c r="AL26" s="75">
        <f t="shared" si="24"/>
        <v>0.17659142469216005</v>
      </c>
      <c r="AM26" s="75">
        <f t="shared" si="25"/>
        <v>0.42250225341456327</v>
      </c>
      <c r="AN26" s="75">
        <f t="shared" si="26"/>
        <v>2.54249897548307</v>
      </c>
      <c r="AO26" s="75">
        <f t="shared" si="27"/>
        <v>-7.4545071968520227E-2</v>
      </c>
      <c r="AP26" s="75">
        <f t="shared" si="28"/>
        <v>0.49704732538308227</v>
      </c>
      <c r="AQ26" s="75">
        <f t="shared" si="29"/>
        <v>0.32459301033254429</v>
      </c>
      <c r="AR26" s="88">
        <f t="shared" si="30"/>
        <v>-47.744929894370053</v>
      </c>
      <c r="AS26" s="88">
        <f t="shared" si="31"/>
        <v>-43.157458643518055</v>
      </c>
      <c r="AT26" s="75">
        <f t="shared" si="32"/>
        <v>8.0603970125546542</v>
      </c>
      <c r="AU26" s="75">
        <f t="shared" si="33"/>
        <v>-0.19982864507299022</v>
      </c>
      <c r="AV26" s="75">
        <f t="shared" si="34"/>
        <v>6.4701553956450129</v>
      </c>
      <c r="AW26" s="72">
        <f t="shared" si="35"/>
        <v>2.3295729111808705</v>
      </c>
    </row>
    <row r="27" spans="1:49">
      <c r="A27" s="157"/>
      <c r="B27" s="57">
        <f t="shared" si="36"/>
        <v>24</v>
      </c>
      <c r="C27" s="70">
        <f t="shared" si="37"/>
        <v>0.69632353969266558</v>
      </c>
      <c r="D27" s="71">
        <f t="shared" si="38"/>
        <v>39.896399999999993</v>
      </c>
      <c r="E27" s="72">
        <f t="shared" si="0"/>
        <v>-0.73894280763063236</v>
      </c>
      <c r="F27" s="70">
        <f t="shared" si="1"/>
        <v>0.93913863412247955</v>
      </c>
      <c r="G27" s="73">
        <f t="shared" si="2"/>
        <v>-1.3696433907028904E-6</v>
      </c>
      <c r="H27" s="73">
        <f t="shared" si="3"/>
        <v>2.0592217354620246E-6</v>
      </c>
      <c r="I27" s="70">
        <f t="shared" si="4"/>
        <v>2.4452691138971274</v>
      </c>
      <c r="J27" s="70">
        <f t="shared" si="5"/>
        <v>7.4341710071300282</v>
      </c>
      <c r="K27" s="70">
        <f t="shared" si="6"/>
        <v>0.18218889791483073</v>
      </c>
      <c r="L27" s="70">
        <f t="shared" si="7"/>
        <v>0.43160821651673209</v>
      </c>
      <c r="M27" s="70">
        <f t="shared" si="8"/>
        <v>2.5277955391582303</v>
      </c>
      <c r="N27" s="70">
        <f t="shared" si="9"/>
        <v>-8.2526425261102765E-2</v>
      </c>
      <c r="O27" s="70">
        <f t="shared" si="10"/>
        <v>0.51413464177783541</v>
      </c>
      <c r="P27" s="70">
        <f t="shared" si="11"/>
        <v>0.33140235103299465</v>
      </c>
      <c r="Q27" s="73">
        <f t="shared" si="12"/>
        <v>-44.351143842162593</v>
      </c>
      <c r="R27" s="73">
        <f t="shared" si="13"/>
        <v>-39.827129261877126</v>
      </c>
      <c r="S27" s="70">
        <f t="shared" si="14"/>
        <v>8.0603970125546542</v>
      </c>
      <c r="T27" s="70">
        <f t="shared" si="15"/>
        <v>-0.19982864507299022</v>
      </c>
      <c r="U27" s="70">
        <f t="shared" si="16"/>
        <v>6.5070704509817388</v>
      </c>
      <c r="V27" s="72">
        <f t="shared" si="17"/>
        <v>2.3004374332903113</v>
      </c>
      <c r="W27" s="74">
        <f t="shared" si="39"/>
        <v>48.445701110243988</v>
      </c>
      <c r="X27" s="75"/>
      <c r="Y27" s="44">
        <f t="shared" si="40"/>
        <v>0.61379776411493747</v>
      </c>
      <c r="Z27" s="45">
        <f t="shared" si="18"/>
        <v>35.16802135835237</v>
      </c>
      <c r="AA27" s="46">
        <f t="shared" si="41"/>
        <v>35.16802135835237</v>
      </c>
      <c r="AB27" s="47">
        <f t="shared" si="42"/>
        <v>6.4968337465387549E-7</v>
      </c>
      <c r="AC27" s="48">
        <f>(Fx*G27+Fy*H27)/Data!AB27</f>
        <v>132.2556371685618</v>
      </c>
      <c r="AD27" s="118">
        <f t="shared" si="43"/>
        <v>39.896457295779506</v>
      </c>
      <c r="AE27" s="85">
        <f t="shared" si="19"/>
        <v>0.69632453969266561</v>
      </c>
      <c r="AF27" s="72">
        <f t="shared" si="20"/>
        <v>-0.73894417727402306</v>
      </c>
      <c r="AG27" s="75">
        <f t="shared" si="21"/>
        <v>0.93914069334421502</v>
      </c>
      <c r="AH27" s="87" t="s">
        <v>36</v>
      </c>
      <c r="AI27" s="87" t="s">
        <v>36</v>
      </c>
      <c r="AJ27" s="75">
        <f t="shared" si="22"/>
        <v>2.4452681138971277</v>
      </c>
      <c r="AK27" s="75">
        <f t="shared" si="23"/>
        <v>7.4341699743880847</v>
      </c>
      <c r="AL27" s="75">
        <f t="shared" si="24"/>
        <v>0.18218914387484619</v>
      </c>
      <c r="AM27" s="75">
        <f t="shared" si="25"/>
        <v>0.43160862024009128</v>
      </c>
      <c r="AN27" s="75">
        <f t="shared" si="26"/>
        <v>2.5277948894748556</v>
      </c>
      <c r="AO27" s="75">
        <f t="shared" si="27"/>
        <v>-8.252677557772814E-2</v>
      </c>
      <c r="AP27" s="75">
        <f t="shared" si="28"/>
        <v>0.51413539581781809</v>
      </c>
      <c r="AQ27" s="75">
        <f t="shared" si="29"/>
        <v>0.33140265265597191</v>
      </c>
      <c r="AR27" s="88">
        <f t="shared" si="30"/>
        <v>-44.351009054177574</v>
      </c>
      <c r="AS27" s="88">
        <f t="shared" si="31"/>
        <v>-39.826997307863998</v>
      </c>
      <c r="AT27" s="75">
        <f t="shared" si="32"/>
        <v>8.0603970125546542</v>
      </c>
      <c r="AU27" s="75">
        <f t="shared" si="33"/>
        <v>-0.19982864507299022</v>
      </c>
      <c r="AV27" s="75">
        <f t="shared" si="34"/>
        <v>6.5070721034844921</v>
      </c>
      <c r="AW27" s="72">
        <f t="shared" si="35"/>
        <v>2.3004361505230215</v>
      </c>
    </row>
    <row r="28" spans="1:49">
      <c r="A28" s="157"/>
      <c r="B28" s="57">
        <f t="shared" si="36"/>
        <v>25</v>
      </c>
      <c r="C28" s="70">
        <f t="shared" si="37"/>
        <v>0.71900932931008787</v>
      </c>
      <c r="D28" s="71">
        <f t="shared" si="38"/>
        <v>41.196199999999997</v>
      </c>
      <c r="E28" s="72">
        <f t="shared" si="0"/>
        <v>-0.77043938355099773</v>
      </c>
      <c r="F28" s="70">
        <f t="shared" si="1"/>
        <v>0.98590192491162909</v>
      </c>
      <c r="G28" s="73">
        <f t="shared" si="2"/>
        <v>-1.4069730482901832E-6</v>
      </c>
      <c r="H28" s="73">
        <f t="shared" si="3"/>
        <v>2.0630918207142912E-6</v>
      </c>
      <c r="I28" s="70">
        <f t="shared" si="4"/>
        <v>2.4225833242797052</v>
      </c>
      <c r="J28" s="70">
        <f t="shared" si="5"/>
        <v>7.4103885674595036</v>
      </c>
      <c r="K28" s="70">
        <f t="shared" si="6"/>
        <v>0.18775029196858406</v>
      </c>
      <c r="L28" s="70">
        <f t="shared" si="7"/>
        <v>0.44081717931947395</v>
      </c>
      <c r="M28" s="70">
        <f t="shared" si="8"/>
        <v>2.5130251823017353</v>
      </c>
      <c r="N28" s="70">
        <f t="shared" si="9"/>
        <v>-9.0441858022030086E-2</v>
      </c>
      <c r="O28" s="70">
        <f t="shared" si="10"/>
        <v>0.5312590373415027</v>
      </c>
      <c r="P28" s="70">
        <f t="shared" si="11"/>
        <v>0.33827589104769462</v>
      </c>
      <c r="Q28" s="73">
        <f t="shared" si="12"/>
        <v>-41.566687839820261</v>
      </c>
      <c r="R28" s="73">
        <f t="shared" si="13"/>
        <v>-37.107787572898225</v>
      </c>
      <c r="S28" s="70">
        <f t="shared" si="14"/>
        <v>8.0603970125546542</v>
      </c>
      <c r="T28" s="70">
        <f t="shared" si="15"/>
        <v>-0.19982864507299022</v>
      </c>
      <c r="U28" s="70">
        <f t="shared" si="16"/>
        <v>6.5451194352549651</v>
      </c>
      <c r="V28" s="72">
        <f t="shared" si="17"/>
        <v>2.2713761754614685</v>
      </c>
      <c r="W28" s="74">
        <f t="shared" si="39"/>
        <v>49.820681535911277</v>
      </c>
      <c r="X28" s="75"/>
      <c r="Y28" s="44">
        <f t="shared" si="40"/>
        <v>0.62856812371474002</v>
      </c>
      <c r="Z28" s="45">
        <f t="shared" si="18"/>
        <v>36.014300625311591</v>
      </c>
      <c r="AA28" s="46">
        <f t="shared" si="41"/>
        <v>36.014300625311591</v>
      </c>
      <c r="AB28" s="47">
        <f t="shared" si="42"/>
        <v>6.5242668201292986E-7</v>
      </c>
      <c r="AC28" s="48">
        <f>(Fx*G28+Fy*H28)/Data!AB28</f>
        <v>131.50300763900717</v>
      </c>
      <c r="AD28" s="118">
        <f t="shared" si="43"/>
        <v>41.19625729577951</v>
      </c>
      <c r="AE28" s="85">
        <f t="shared" si="19"/>
        <v>0.7190103293100879</v>
      </c>
      <c r="AF28" s="72">
        <f t="shared" si="20"/>
        <v>-0.77044079052404602</v>
      </c>
      <c r="AG28" s="75">
        <f t="shared" si="21"/>
        <v>0.9859039880034498</v>
      </c>
      <c r="AH28" s="87" t="s">
        <v>36</v>
      </c>
      <c r="AI28" s="87" t="s">
        <v>36</v>
      </c>
      <c r="AJ28" s="75">
        <f t="shared" si="22"/>
        <v>2.4225823242797051</v>
      </c>
      <c r="AK28" s="75">
        <f t="shared" si="23"/>
        <v>7.4103875035584013</v>
      </c>
      <c r="AL28" s="75">
        <f t="shared" si="24"/>
        <v>0.18775053629538352</v>
      </c>
      <c r="AM28" s="75">
        <f t="shared" si="25"/>
        <v>0.4408175874193565</v>
      </c>
      <c r="AN28" s="75">
        <f t="shared" si="26"/>
        <v>2.5130245298750529</v>
      </c>
      <c r="AO28" s="75">
        <f t="shared" si="27"/>
        <v>-9.0442205595347658E-2</v>
      </c>
      <c r="AP28" s="75">
        <f t="shared" si="28"/>
        <v>0.5312597930147045</v>
      </c>
      <c r="AQ28" s="75">
        <f t="shared" si="29"/>
        <v>0.33827619536124054</v>
      </c>
      <c r="AR28" s="88">
        <f t="shared" si="30"/>
        <v>-41.566576020422218</v>
      </c>
      <c r="AS28" s="88">
        <f t="shared" si="31"/>
        <v>-37.107678659887824</v>
      </c>
      <c r="AT28" s="75">
        <f t="shared" si="32"/>
        <v>8.0603970125546542</v>
      </c>
      <c r="AU28" s="75">
        <f t="shared" si="33"/>
        <v>-0.19982864507299022</v>
      </c>
      <c r="AV28" s="75">
        <f t="shared" si="34"/>
        <v>6.5451211369415123</v>
      </c>
      <c r="AW28" s="72">
        <f t="shared" si="35"/>
        <v>2.2713748962279441</v>
      </c>
    </row>
    <row r="29" spans="1:49">
      <c r="A29" s="157"/>
      <c r="B29" s="57">
        <f t="shared" si="36"/>
        <v>26</v>
      </c>
      <c r="C29" s="70">
        <f t="shared" si="37"/>
        <v>0.74169511892751017</v>
      </c>
      <c r="D29" s="71">
        <f t="shared" si="38"/>
        <v>42.495999999999995</v>
      </c>
      <c r="E29" s="72">
        <f t="shared" si="0"/>
        <v>-0.80277240022002161</v>
      </c>
      <c r="F29" s="70">
        <f t="shared" si="1"/>
        <v>1.032727628065226</v>
      </c>
      <c r="G29" s="73">
        <f t="shared" si="2"/>
        <v>-1.4433823620763064E-6</v>
      </c>
      <c r="H29" s="73">
        <f t="shared" si="3"/>
        <v>2.0647483334190753E-6</v>
      </c>
      <c r="I29" s="70">
        <f t="shared" si="4"/>
        <v>2.3998975346622831</v>
      </c>
      <c r="J29" s="70">
        <f t="shared" si="5"/>
        <v>7.3859020121155456</v>
      </c>
      <c r="K29" s="70">
        <f t="shared" si="6"/>
        <v>0.19327390182609538</v>
      </c>
      <c r="L29" s="70">
        <f t="shared" si="7"/>
        <v>0.45012226696598034</v>
      </c>
      <c r="M29" s="70">
        <f t="shared" si="8"/>
        <v>2.4981964847977176</v>
      </c>
      <c r="N29" s="70">
        <f t="shared" si="9"/>
        <v>-9.829895013543466E-2</v>
      </c>
      <c r="O29" s="70">
        <f t="shared" si="10"/>
        <v>0.54842121710141312</v>
      </c>
      <c r="P29" s="70">
        <f t="shared" si="11"/>
        <v>0.34520772345682493</v>
      </c>
      <c r="Q29" s="73">
        <f t="shared" si="12"/>
        <v>-39.235199553560172</v>
      </c>
      <c r="R29" s="73">
        <f t="shared" si="13"/>
        <v>-34.843043831316038</v>
      </c>
      <c r="S29" s="70">
        <f t="shared" si="14"/>
        <v>8.0603970125546542</v>
      </c>
      <c r="T29" s="70">
        <f t="shared" si="15"/>
        <v>-0.19982864507299022</v>
      </c>
      <c r="U29" s="70">
        <f t="shared" si="16"/>
        <v>6.5842672517777165</v>
      </c>
      <c r="V29" s="72">
        <f t="shared" si="17"/>
        <v>2.2423994323917587</v>
      </c>
      <c r="W29" s="74">
        <f t="shared" si="39"/>
        <v>51.201166744734159</v>
      </c>
      <c r="X29" s="75"/>
      <c r="Y29" s="44">
        <f t="shared" si="40"/>
        <v>0.64339682362189166</v>
      </c>
      <c r="Z29" s="45">
        <f t="shared" si="18"/>
        <v>36.863922545657424</v>
      </c>
      <c r="AA29" s="46">
        <f t="shared" si="41"/>
        <v>36.863922545657424</v>
      </c>
      <c r="AB29" s="47">
        <f t="shared" si="42"/>
        <v>6.5482981592701606E-7</v>
      </c>
      <c r="AC29" s="48">
        <f>(Fx*G29+Fy*H29)/Data!AB29</f>
        <v>130.67652918119921</v>
      </c>
      <c r="AD29" s="118">
        <f t="shared" si="43"/>
        <v>42.496057295779515</v>
      </c>
      <c r="AE29" s="85">
        <f t="shared" si="19"/>
        <v>0.7416961189275102</v>
      </c>
      <c r="AF29" s="72">
        <f t="shared" si="20"/>
        <v>-0.80277384360238369</v>
      </c>
      <c r="AG29" s="75">
        <f t="shared" si="21"/>
        <v>1.0327296928135594</v>
      </c>
      <c r="AH29" s="87" t="s">
        <v>36</v>
      </c>
      <c r="AI29" s="87" t="s">
        <v>36</v>
      </c>
      <c r="AJ29" s="75">
        <f t="shared" si="22"/>
        <v>2.3998965346622829</v>
      </c>
      <c r="AK29" s="75">
        <f t="shared" si="23"/>
        <v>7.3859009172995496</v>
      </c>
      <c r="AL29" s="75">
        <f t="shared" si="24"/>
        <v>0.19327414445481206</v>
      </c>
      <c r="AM29" s="75">
        <f t="shared" si="25"/>
        <v>0.4501226791670796</v>
      </c>
      <c r="AN29" s="75">
        <f t="shared" si="26"/>
        <v>2.4981958299679015</v>
      </c>
      <c r="AO29" s="75">
        <f t="shared" si="27"/>
        <v>-9.8299295305618539E-2</v>
      </c>
      <c r="AP29" s="75">
        <f t="shared" si="28"/>
        <v>0.54842197447269769</v>
      </c>
      <c r="AQ29" s="75">
        <f t="shared" si="29"/>
        <v>0.34520803022139046</v>
      </c>
      <c r="AR29" s="88">
        <f t="shared" si="30"/>
        <v>-39.235105049839667</v>
      </c>
      <c r="AS29" s="88">
        <f t="shared" si="31"/>
        <v>-34.842952305279312</v>
      </c>
      <c r="AT29" s="75">
        <f t="shared" si="32"/>
        <v>8.0603970125546542</v>
      </c>
      <c r="AU29" s="75">
        <f t="shared" si="33"/>
        <v>-0.19982864507299022</v>
      </c>
      <c r="AV29" s="75">
        <f t="shared" si="34"/>
        <v>6.5842690011464526</v>
      </c>
      <c r="AW29" s="72">
        <f t="shared" si="35"/>
        <v>2.2423981570686804</v>
      </c>
    </row>
    <row r="30" spans="1:49" ht="13.15" customHeight="1">
      <c r="A30" s="157"/>
      <c r="B30" s="57">
        <f t="shared" si="36"/>
        <v>27</v>
      </c>
      <c r="C30" s="70">
        <f t="shared" si="37"/>
        <v>0.76438090854493246</v>
      </c>
      <c r="D30" s="71">
        <f t="shared" si="38"/>
        <v>43.795799999999993</v>
      </c>
      <c r="E30" s="72">
        <f t="shared" si="0"/>
        <v>-0.83592081893948134</v>
      </c>
      <c r="F30" s="70">
        <f t="shared" si="1"/>
        <v>1.0795671536240821</v>
      </c>
      <c r="G30" s="73">
        <f t="shared" si="2"/>
        <v>-1.4788572828550173E-6</v>
      </c>
      <c r="H30" s="73">
        <f t="shared" si="3"/>
        <v>2.0643332570013939E-6</v>
      </c>
      <c r="I30" s="70">
        <f t="shared" si="4"/>
        <v>2.3772117450448604</v>
      </c>
      <c r="J30" s="70">
        <f t="shared" si="5"/>
        <v>7.3607169794738754</v>
      </c>
      <c r="K30" s="70">
        <f t="shared" si="6"/>
        <v>0.19875824153896615</v>
      </c>
      <c r="L30" s="70">
        <f t="shared" si="7"/>
        <v>0.45951745271192679</v>
      </c>
      <c r="M30" s="70">
        <f t="shared" si="8"/>
        <v>2.4833169593389002</v>
      </c>
      <c r="N30" s="70">
        <f t="shared" si="9"/>
        <v>-0.10610521429403952</v>
      </c>
      <c r="O30" s="70">
        <f t="shared" si="10"/>
        <v>0.56562266700596586</v>
      </c>
      <c r="P30" s="70">
        <f t="shared" si="11"/>
        <v>0.35219257887727951</v>
      </c>
      <c r="Q30" s="73">
        <f t="shared" si="12"/>
        <v>-37.249125305929724</v>
      </c>
      <c r="R30" s="73">
        <f t="shared" si="13"/>
        <v>-32.925318244002526</v>
      </c>
      <c r="S30" s="70">
        <f t="shared" si="14"/>
        <v>8.0603970125546542</v>
      </c>
      <c r="T30" s="70">
        <f t="shared" si="15"/>
        <v>-0.19982864507299022</v>
      </c>
      <c r="U30" s="70">
        <f t="shared" si="16"/>
        <v>6.6244793146805545</v>
      </c>
      <c r="V30" s="72">
        <f t="shared" si="17"/>
        <v>2.2135153004718817</v>
      </c>
      <c r="W30" s="74">
        <f t="shared" si="39"/>
        <v>52.58693996187187</v>
      </c>
      <c r="X30" s="75"/>
      <c r="Y30" s="44">
        <f t="shared" si="40"/>
        <v>0.65827635116143335</v>
      </c>
      <c r="Z30" s="45">
        <f t="shared" si="18"/>
        <v>37.716456674821842</v>
      </c>
      <c r="AA30" s="46">
        <f t="shared" si="41"/>
        <v>37.716456674821842</v>
      </c>
      <c r="AB30" s="47">
        <f t="shared" si="42"/>
        <v>6.5691054040861729E-7</v>
      </c>
      <c r="AC30" s="48">
        <f>(Fx*G30+Fy*H30)/Data!AB30</f>
        <v>129.78261421563502</v>
      </c>
      <c r="AD30" s="118">
        <f t="shared" si="43"/>
        <v>43.795857295779506</v>
      </c>
      <c r="AE30" s="85">
        <f t="shared" si="19"/>
        <v>0.76438190854493249</v>
      </c>
      <c r="AF30" s="72">
        <f t="shared" si="20"/>
        <v>-0.83592229779676419</v>
      </c>
      <c r="AG30" s="75">
        <f t="shared" si="21"/>
        <v>1.0795692179573391</v>
      </c>
      <c r="AH30" s="87" t="s">
        <v>36</v>
      </c>
      <c r="AI30" s="87" t="s">
        <v>36</v>
      </c>
      <c r="AJ30" s="75">
        <f t="shared" si="22"/>
        <v>2.3772107450448607</v>
      </c>
      <c r="AK30" s="75">
        <f t="shared" si="23"/>
        <v>7.3607158539958224</v>
      </c>
      <c r="AL30" s="75">
        <f t="shared" si="24"/>
        <v>0.19875848240345206</v>
      </c>
      <c r="AM30" s="75">
        <f t="shared" si="25"/>
        <v>0.45951786875798128</v>
      </c>
      <c r="AN30" s="75">
        <f t="shared" si="26"/>
        <v>2.48331630242836</v>
      </c>
      <c r="AO30" s="75">
        <f t="shared" si="27"/>
        <v>-0.10610555738349936</v>
      </c>
      <c r="AP30" s="75">
        <f t="shared" si="28"/>
        <v>0.56562342614147898</v>
      </c>
      <c r="AQ30" s="75">
        <f t="shared" si="29"/>
        <v>0.35219288786766967</v>
      </c>
      <c r="AR30" s="88">
        <f t="shared" si="30"/>
        <v>-37.249044162811522</v>
      </c>
      <c r="AS30" s="88">
        <f t="shared" si="31"/>
        <v>-32.925240148682143</v>
      </c>
      <c r="AT30" s="75">
        <f t="shared" si="32"/>
        <v>8.0603970125546542</v>
      </c>
      <c r="AU30" s="75">
        <f t="shared" si="33"/>
        <v>-0.19982864507299022</v>
      </c>
      <c r="AV30" s="75">
        <f t="shared" si="34"/>
        <v>6.6244811101850054</v>
      </c>
      <c r="AW30" s="72">
        <f t="shared" si="35"/>
        <v>2.2135140293966842</v>
      </c>
    </row>
    <row r="31" spans="1:49">
      <c r="A31" s="76"/>
      <c r="B31" s="57">
        <f t="shared" si="36"/>
        <v>28</v>
      </c>
      <c r="C31" s="70">
        <f t="shared" si="37"/>
        <v>0.78706669816235475</v>
      </c>
      <c r="D31" s="71">
        <f t="shared" si="38"/>
        <v>45.095599999999997</v>
      </c>
      <c r="E31" s="72">
        <f t="shared" si="0"/>
        <v>-0.86986328553941927</v>
      </c>
      <c r="F31" s="70">
        <f t="shared" si="1"/>
        <v>1.1263750373951631</v>
      </c>
      <c r="G31" s="73">
        <f t="shared" si="2"/>
        <v>-1.5133840287617772E-6</v>
      </c>
      <c r="H31" s="73">
        <f t="shared" si="3"/>
        <v>2.0619803127175373E-6</v>
      </c>
      <c r="I31" s="70">
        <f t="shared" si="4"/>
        <v>2.3545259554274383</v>
      </c>
      <c r="J31" s="70">
        <f t="shared" si="5"/>
        <v>7.3348393033992538</v>
      </c>
      <c r="K31" s="70">
        <f t="shared" si="6"/>
        <v>0.20420179547065809</v>
      </c>
      <c r="L31" s="70">
        <f t="shared" si="7"/>
        <v>0.46899712550984485</v>
      </c>
      <c r="M31" s="70">
        <f t="shared" si="8"/>
        <v>2.4683937326092904</v>
      </c>
      <c r="N31" s="70">
        <f t="shared" si="9"/>
        <v>-0.11386777718185204</v>
      </c>
      <c r="O31" s="70">
        <f t="shared" si="10"/>
        <v>0.58286490269169766</v>
      </c>
      <c r="P31" s="70">
        <f t="shared" si="11"/>
        <v>0.35922550076103832</v>
      </c>
      <c r="Q31" s="73">
        <f t="shared" si="12"/>
        <v>-35.53213877755546</v>
      </c>
      <c r="R31" s="73">
        <f t="shared" si="13"/>
        <v>-31.278257003680661</v>
      </c>
      <c r="S31" s="70">
        <f t="shared" si="14"/>
        <v>8.0603970125546542</v>
      </c>
      <c r="T31" s="70">
        <f t="shared" si="15"/>
        <v>-0.19982864507299022</v>
      </c>
      <c r="U31" s="70">
        <f t="shared" si="16"/>
        <v>6.6657200897986835</v>
      </c>
      <c r="V31" s="72">
        <f t="shared" si="17"/>
        <v>2.1847310082955271</v>
      </c>
      <c r="W31" s="74">
        <f t="shared" si="39"/>
        <v>53.977804037618732</v>
      </c>
      <c r="X31" s="75"/>
      <c r="Y31" s="44">
        <f t="shared" si="40"/>
        <v>0.67319957966564159</v>
      </c>
      <c r="Z31" s="45">
        <f t="shared" si="18"/>
        <v>38.571494684822298</v>
      </c>
      <c r="AA31" s="46">
        <f t="shared" si="41"/>
        <v>38.571494684822298</v>
      </c>
      <c r="AB31" s="47">
        <f t="shared" si="42"/>
        <v>6.5868513865474654E-7</v>
      </c>
      <c r="AC31" s="48">
        <f>(Fx*G31+Fy*H31)/Data!AB31</f>
        <v>128.82717556081039</v>
      </c>
      <c r="AD31" s="118">
        <f t="shared" si="43"/>
        <v>45.09565729577951</v>
      </c>
      <c r="AE31" s="85">
        <f t="shared" si="19"/>
        <v>0.78706769816235478</v>
      </c>
      <c r="AF31" s="72">
        <f t="shared" si="20"/>
        <v>-0.86986479892344803</v>
      </c>
      <c r="AG31" s="75">
        <f t="shared" si="21"/>
        <v>1.1263770993754758</v>
      </c>
      <c r="AH31" s="87" t="s">
        <v>36</v>
      </c>
      <c r="AI31" s="87" t="s">
        <v>36</v>
      </c>
      <c r="AJ31" s="75">
        <f t="shared" si="22"/>
        <v>2.3545249554274381</v>
      </c>
      <c r="AK31" s="75">
        <f t="shared" si="23"/>
        <v>7.3348381475206432</v>
      </c>
      <c r="AL31" s="75">
        <f t="shared" si="24"/>
        <v>0.20420203450343055</v>
      </c>
      <c r="AM31" s="75">
        <f t="shared" si="25"/>
        <v>0.46899754516221104</v>
      </c>
      <c r="AN31" s="75">
        <f t="shared" si="26"/>
        <v>2.4683930739241511</v>
      </c>
      <c r="AO31" s="75">
        <f t="shared" si="27"/>
        <v>-0.11386811849671274</v>
      </c>
      <c r="AP31" s="75">
        <f t="shared" si="28"/>
        <v>0.58286566365892367</v>
      </c>
      <c r="AQ31" s="75">
        <f t="shared" si="29"/>
        <v>0.35922581176529489</v>
      </c>
      <c r="AR31" s="88">
        <f t="shared" si="30"/>
        <v>-35.532068145828219</v>
      </c>
      <c r="AS31" s="88">
        <f t="shared" si="31"/>
        <v>-31.278189488624633</v>
      </c>
      <c r="AT31" s="75">
        <f t="shared" si="32"/>
        <v>8.0603970125546542</v>
      </c>
      <c r="AU31" s="75">
        <f t="shared" si="33"/>
        <v>-0.19982864507299022</v>
      </c>
      <c r="AV31" s="75">
        <f t="shared" si="34"/>
        <v>6.6657219298535813</v>
      </c>
      <c r="AW31" s="72">
        <f t="shared" si="35"/>
        <v>2.1847297417683773</v>
      </c>
    </row>
    <row r="32" spans="1:49">
      <c r="A32" s="76"/>
      <c r="B32" s="57">
        <f t="shared" si="36"/>
        <v>29</v>
      </c>
      <c r="C32" s="70">
        <f t="shared" si="37"/>
        <v>0.80975248777977704</v>
      </c>
      <c r="D32" s="71">
        <f t="shared" si="38"/>
        <v>46.395399999999988</v>
      </c>
      <c r="E32" s="72">
        <f t="shared" si="0"/>
        <v>-0.90457813536157516</v>
      </c>
      <c r="F32" s="70">
        <f t="shared" si="1"/>
        <v>1.1731087619097771</v>
      </c>
      <c r="G32" s="73">
        <f t="shared" si="2"/>
        <v>-1.5469489964559102E-6</v>
      </c>
      <c r="H32" s="73">
        <f t="shared" si="3"/>
        <v>2.0578156512129908E-6</v>
      </c>
      <c r="I32" s="70">
        <f t="shared" si="4"/>
        <v>2.3318401658100161</v>
      </c>
      <c r="J32" s="70">
        <f t="shared" si="5"/>
        <v>7.3082750154361378</v>
      </c>
      <c r="K32" s="70">
        <f t="shared" si="6"/>
        <v>0.20960301702580275</v>
      </c>
      <c r="L32" s="70">
        <f t="shared" si="7"/>
        <v>0.47855605861071959</v>
      </c>
      <c r="M32" s="70">
        <f t="shared" si="8"/>
        <v>2.453433577953271</v>
      </c>
      <c r="N32" s="70">
        <f t="shared" si="9"/>
        <v>-0.12159341214325492</v>
      </c>
      <c r="O32" s="70">
        <f t="shared" si="10"/>
        <v>0.60014947075397429</v>
      </c>
      <c r="P32" s="70">
        <f t="shared" si="11"/>
        <v>0.36630182088190111</v>
      </c>
      <c r="Q32" s="73">
        <f t="shared" si="12"/>
        <v>-34.028589525073272</v>
      </c>
      <c r="R32" s="73">
        <f t="shared" si="13"/>
        <v>-29.846180891608444</v>
      </c>
      <c r="S32" s="70">
        <f t="shared" si="14"/>
        <v>8.0603970125546542</v>
      </c>
      <c r="T32" s="70">
        <f t="shared" si="15"/>
        <v>-0.19982864507299022</v>
      </c>
      <c r="U32" s="70">
        <f t="shared" si="16"/>
        <v>6.7079532283227552</v>
      </c>
      <c r="V32" s="72">
        <f t="shared" si="17"/>
        <v>2.1560529610545678</v>
      </c>
      <c r="W32" s="74">
        <f t="shared" si="39"/>
        <v>55.373580115702737</v>
      </c>
      <c r="X32" s="75"/>
      <c r="Y32" s="44">
        <f t="shared" si="40"/>
        <v>0.68815973580501999</v>
      </c>
      <c r="Z32" s="45">
        <f t="shared" si="18"/>
        <v>39.428648492465406</v>
      </c>
      <c r="AA32" s="46">
        <f t="shared" si="41"/>
        <v>39.428648492465406</v>
      </c>
      <c r="AB32" s="47">
        <f t="shared" si="42"/>
        <v>6.6016849764594099E-7</v>
      </c>
      <c r="AC32" s="48">
        <f>(Fx*G32+Fy*H32)/Data!AB32</f>
        <v>127.81570272089006</v>
      </c>
      <c r="AD32" s="118">
        <f t="shared" si="43"/>
        <v>46.395457295779508</v>
      </c>
      <c r="AE32" s="85">
        <f t="shared" si="19"/>
        <v>0.80975348777977707</v>
      </c>
      <c r="AF32" s="72">
        <f t="shared" si="20"/>
        <v>-0.90457968231057162</v>
      </c>
      <c r="AG32" s="75">
        <f t="shared" si="21"/>
        <v>1.1731108197254283</v>
      </c>
      <c r="AH32" s="87" t="s">
        <v>36</v>
      </c>
      <c r="AI32" s="87" t="s">
        <v>36</v>
      </c>
      <c r="AJ32" s="75">
        <f t="shared" si="22"/>
        <v>2.3318391658100159</v>
      </c>
      <c r="AK32" s="75">
        <f t="shared" si="23"/>
        <v>7.3082738294272325</v>
      </c>
      <c r="AL32" s="75">
        <f t="shared" si="24"/>
        <v>0.20960325415798864</v>
      </c>
      <c r="AM32" s="75">
        <f t="shared" si="25"/>
        <v>0.47855648164703135</v>
      </c>
      <c r="AN32" s="75">
        <f t="shared" si="26"/>
        <v>2.4534329177847733</v>
      </c>
      <c r="AO32" s="75">
        <f t="shared" si="27"/>
        <v>-0.1215937519747573</v>
      </c>
      <c r="AP32" s="75">
        <f t="shared" si="28"/>
        <v>0.6001502336217891</v>
      </c>
      <c r="AQ32" s="75">
        <f t="shared" si="29"/>
        <v>0.36630213370025966</v>
      </c>
      <c r="AR32" s="88">
        <f t="shared" si="30"/>
        <v>-34.028527300865967</v>
      </c>
      <c r="AS32" s="88">
        <f t="shared" si="31"/>
        <v>-29.8461218516501</v>
      </c>
      <c r="AT32" s="75">
        <f t="shared" si="32"/>
        <v>8.0603970125546542</v>
      </c>
      <c r="AU32" s="75">
        <f t="shared" si="33"/>
        <v>-0.19982864507299022</v>
      </c>
      <c r="AV32" s="75">
        <f t="shared" si="34"/>
        <v>6.7079551113097411</v>
      </c>
      <c r="AW32" s="72">
        <f t="shared" si="35"/>
        <v>2.1560516993403054</v>
      </c>
    </row>
    <row r="33" spans="1:49">
      <c r="A33" s="76"/>
      <c r="B33" s="57">
        <f t="shared" si="36"/>
        <v>30</v>
      </c>
      <c r="C33" s="70">
        <f t="shared" si="37"/>
        <v>0.83243827739719933</v>
      </c>
      <c r="D33" s="71">
        <f t="shared" si="38"/>
        <v>47.695199999999993</v>
      </c>
      <c r="E33" s="72">
        <f t="shared" si="0"/>
        <v>-0.94004339640583456</v>
      </c>
      <c r="F33" s="70">
        <f t="shared" si="1"/>
        <v>1.2197285898839347</v>
      </c>
      <c r="G33" s="73">
        <f t="shared" si="2"/>
        <v>-1.5795386838490799E-6</v>
      </c>
      <c r="H33" s="73">
        <f t="shared" si="3"/>
        <v>2.0519583046052503E-6</v>
      </c>
      <c r="I33" s="70">
        <f t="shared" si="4"/>
        <v>2.3091543761925939</v>
      </c>
      <c r="J33" s="70">
        <f t="shared" si="5"/>
        <v>7.2810303471173787</v>
      </c>
      <c r="K33" s="70">
        <f t="shared" si="6"/>
        <v>0.21496032734513237</v>
      </c>
      <c r="L33" s="70">
        <f t="shared" si="7"/>
        <v>0.4881893801427557</v>
      </c>
      <c r="M33" s="70">
        <f t="shared" si="8"/>
        <v>2.438442946101905</v>
      </c>
      <c r="N33" s="70">
        <f t="shared" si="9"/>
        <v>-0.12928856990931126</v>
      </c>
      <c r="O33" s="70">
        <f t="shared" si="10"/>
        <v>0.61747795005206707</v>
      </c>
      <c r="P33" s="70">
        <f t="shared" si="11"/>
        <v>0.37341713634495388</v>
      </c>
      <c r="Q33" s="73">
        <f t="shared" si="12"/>
        <v>-32.696958917562917</v>
      </c>
      <c r="R33" s="73">
        <f t="shared" si="13"/>
        <v>-28.587541291984376</v>
      </c>
      <c r="S33" s="70">
        <f t="shared" si="14"/>
        <v>8.0603970125546542</v>
      </c>
      <c r="T33" s="70">
        <f t="shared" si="15"/>
        <v>-0.19982864507299022</v>
      </c>
      <c r="U33" s="70">
        <f t="shared" si="16"/>
        <v>6.7511416915313651</v>
      </c>
      <c r="V33" s="72">
        <f t="shared" si="17"/>
        <v>2.1274867843962055</v>
      </c>
      <c r="W33" s="74">
        <f t="shared" si="39"/>
        <v>56.77410639080037</v>
      </c>
      <c r="X33" s="75"/>
      <c r="Y33" s="44">
        <f t="shared" si="40"/>
        <v>0.70315036886206972</v>
      </c>
      <c r="Z33" s="45">
        <f t="shared" si="18"/>
        <v>40.28754849886365</v>
      </c>
      <c r="AA33" s="46">
        <f t="shared" si="41"/>
        <v>40.28754849886365</v>
      </c>
      <c r="AB33" s="47">
        <f t="shared" si="42"/>
        <v>6.613741816430263E-7</v>
      </c>
      <c r="AC33" s="48">
        <f>(Fx*G33+Fy*H33)/Data!AB33</f>
        <v>126.75331480722684</v>
      </c>
      <c r="AD33" s="118">
        <f t="shared" si="43"/>
        <v>47.695257295779506</v>
      </c>
      <c r="AE33" s="85">
        <f t="shared" si="19"/>
        <v>0.83243927739719936</v>
      </c>
      <c r="AF33" s="72">
        <f t="shared" si="20"/>
        <v>-0.94004497594451841</v>
      </c>
      <c r="AG33" s="75">
        <f t="shared" si="21"/>
        <v>1.2197306418422393</v>
      </c>
      <c r="AH33" s="87" t="s">
        <v>36</v>
      </c>
      <c r="AI33" s="87" t="s">
        <v>36</v>
      </c>
      <c r="AJ33" s="75">
        <f t="shared" si="22"/>
        <v>2.3091533761925938</v>
      </c>
      <c r="AK33" s="75">
        <f t="shared" si="23"/>
        <v>7.281029131257311</v>
      </c>
      <c r="AL33" s="75">
        <f t="shared" si="24"/>
        <v>0.21496056250640083</v>
      </c>
      <c r="AM33" s="75">
        <f t="shared" si="25"/>
        <v>0.48818980635566889</v>
      </c>
      <c r="AN33" s="75">
        <f t="shared" si="26"/>
        <v>2.4384422847277234</v>
      </c>
      <c r="AO33" s="75">
        <f t="shared" si="27"/>
        <v>-0.12928890853512964</v>
      </c>
      <c r="AP33" s="75">
        <f t="shared" si="28"/>
        <v>0.6174787148907982</v>
      </c>
      <c r="AQ33" s="75">
        <f t="shared" si="29"/>
        <v>0.37341745078885791</v>
      </c>
      <c r="AR33" s="88">
        <f t="shared" si="30"/>
        <v>-32.696903514184775</v>
      </c>
      <c r="AS33" s="88">
        <f t="shared" si="31"/>
        <v>-28.587489139085619</v>
      </c>
      <c r="AT33" s="75">
        <f t="shared" si="32"/>
        <v>8.0603970125546542</v>
      </c>
      <c r="AU33" s="75">
        <f t="shared" si="33"/>
        <v>-0.19982864507299022</v>
      </c>
      <c r="AV33" s="75">
        <f t="shared" si="34"/>
        <v>6.7511436158042821</v>
      </c>
      <c r="AW33" s="72">
        <f t="shared" si="35"/>
        <v>2.1274855277262681</v>
      </c>
    </row>
    <row r="34" spans="1:49">
      <c r="A34" s="76"/>
      <c r="B34" s="57">
        <f t="shared" si="36"/>
        <v>31</v>
      </c>
      <c r="C34" s="70">
        <f t="shared" si="37"/>
        <v>0.85512406701462162</v>
      </c>
      <c r="D34" s="71">
        <f t="shared" si="38"/>
        <v>48.99499999999999</v>
      </c>
      <c r="E34" s="72">
        <f t="shared" si="0"/>
        <v>-0.97623679108249117</v>
      </c>
      <c r="F34" s="70">
        <f t="shared" si="1"/>
        <v>1.2661974099886617</v>
      </c>
      <c r="G34" s="73">
        <f t="shared" si="2"/>
        <v>-1.6111396412554768E-6</v>
      </c>
      <c r="H34" s="73">
        <f t="shared" si="3"/>
        <v>2.0445208273045523E-6</v>
      </c>
      <c r="I34" s="70">
        <f t="shared" si="4"/>
        <v>2.2864685865751717</v>
      </c>
      <c r="J34" s="70">
        <f t="shared" si="5"/>
        <v>7.2531117323963077</v>
      </c>
      <c r="K34" s="70">
        <f t="shared" si="6"/>
        <v>0.22027211396485669</v>
      </c>
      <c r="L34" s="70">
        <f t="shared" si="7"/>
        <v>0.49789254563781915</v>
      </c>
      <c r="M34" s="70">
        <f t="shared" si="8"/>
        <v>2.4234279939871173</v>
      </c>
      <c r="N34" s="70">
        <f t="shared" si="9"/>
        <v>-0.13695940741194579</v>
      </c>
      <c r="O34" s="70">
        <f t="shared" si="10"/>
        <v>0.63485195304976427</v>
      </c>
      <c r="P34" s="70">
        <f t="shared" si="11"/>
        <v>0.38056728809881935</v>
      </c>
      <c r="Q34" s="73">
        <f t="shared" si="12"/>
        <v>-31.505653518909824</v>
      </c>
      <c r="R34" s="73">
        <f t="shared" si="13"/>
        <v>-27.470713646336804</v>
      </c>
      <c r="S34" s="70">
        <f t="shared" si="14"/>
        <v>8.0603970125546542</v>
      </c>
      <c r="T34" s="70">
        <f t="shared" si="15"/>
        <v>-0.19982864507299022</v>
      </c>
      <c r="U34" s="70">
        <f t="shared" si="16"/>
        <v>6.7952478668305716</v>
      </c>
      <c r="V34" s="72">
        <f t="shared" si="17"/>
        <v>2.0990373674939948</v>
      </c>
      <c r="W34" s="74">
        <f t="shared" si="39"/>
        <v>58.179236954190614</v>
      </c>
      <c r="X34" s="75"/>
      <c r="Y34" s="44">
        <f t="shared" si="40"/>
        <v>0.71816532191721683</v>
      </c>
      <c r="Z34" s="45">
        <f t="shared" si="18"/>
        <v>41.147841938510645</v>
      </c>
      <c r="AA34" s="46">
        <f t="shared" si="41"/>
        <v>41.147841938510645</v>
      </c>
      <c r="AB34" s="47">
        <f t="shared" si="42"/>
        <v>6.6231454098897302E-7</v>
      </c>
      <c r="AC34" s="48">
        <f>(Fx*G34+Fy*H34)/Data!AB34</f>
        <v>125.64481332385262</v>
      </c>
      <c r="AD34" s="118">
        <f t="shared" si="43"/>
        <v>48.99505729577951</v>
      </c>
      <c r="AE34" s="85">
        <f t="shared" si="19"/>
        <v>0.85512506701462165</v>
      </c>
      <c r="AF34" s="72">
        <f t="shared" si="20"/>
        <v>-0.97623840222213243</v>
      </c>
      <c r="AG34" s="75">
        <f t="shared" si="21"/>
        <v>1.266199454509489</v>
      </c>
      <c r="AH34" s="87" t="s">
        <v>36</v>
      </c>
      <c r="AI34" s="87" t="s">
        <v>36</v>
      </c>
      <c r="AJ34" s="75">
        <f t="shared" si="22"/>
        <v>2.2864675865751716</v>
      </c>
      <c r="AK34" s="75">
        <f t="shared" si="23"/>
        <v>7.2531104869731884</v>
      </c>
      <c r="AL34" s="75">
        <f t="shared" si="24"/>
        <v>0.22027234708337051</v>
      </c>
      <c r="AM34" s="75">
        <f t="shared" si="25"/>
        <v>0.49789297483384631</v>
      </c>
      <c r="AN34" s="75">
        <f t="shared" si="26"/>
        <v>2.4234273316725763</v>
      </c>
      <c r="AO34" s="75">
        <f t="shared" si="27"/>
        <v>-0.13695974509740483</v>
      </c>
      <c r="AP34" s="75">
        <f t="shared" si="28"/>
        <v>0.63485271993125003</v>
      </c>
      <c r="AQ34" s="75">
        <f t="shared" si="29"/>
        <v>0.38056760399001188</v>
      </c>
      <c r="AR34" s="88">
        <f t="shared" si="30"/>
        <v>-31.505603717645837</v>
      </c>
      <c r="AS34" s="88">
        <f t="shared" si="31"/>
        <v>-27.470667160386668</v>
      </c>
      <c r="AT34" s="75">
        <f t="shared" si="32"/>
        <v>8.0603970125546542</v>
      </c>
      <c r="AU34" s="75">
        <f t="shared" si="33"/>
        <v>-0.19982864507299022</v>
      </c>
      <c r="AV34" s="75">
        <f t="shared" si="34"/>
        <v>6.7952498307204028</v>
      </c>
      <c r="AW34" s="72">
        <f t="shared" si="35"/>
        <v>2.0990361160682882</v>
      </c>
    </row>
    <row r="35" spans="1:49">
      <c r="A35" s="76"/>
      <c r="B35" s="57">
        <f t="shared" si="36"/>
        <v>32</v>
      </c>
      <c r="C35" s="70">
        <f t="shared" si="37"/>
        <v>0.87780985663204392</v>
      </c>
      <c r="D35" s="71">
        <f t="shared" si="38"/>
        <v>50.294799999999995</v>
      </c>
      <c r="E35" s="72">
        <f t="shared" si="0"/>
        <v>-1.0131357369251903</v>
      </c>
      <c r="F35" s="70">
        <f t="shared" si="1"/>
        <v>1.3124805945596258</v>
      </c>
      <c r="G35" s="73">
        <f t="shared" si="2"/>
        <v>-1.6417384367528598E-6</v>
      </c>
      <c r="H35" s="73">
        <f t="shared" si="3"/>
        <v>2.0356097218954261E-6</v>
      </c>
      <c r="I35" s="70">
        <f t="shared" si="4"/>
        <v>2.2637827969577491</v>
      </c>
      <c r="J35" s="70">
        <f t="shared" si="5"/>
        <v>7.2245258102077994</v>
      </c>
      <c r="K35" s="70">
        <f t="shared" si="6"/>
        <v>0.22553672943939973</v>
      </c>
      <c r="L35" s="70">
        <f t="shared" si="7"/>
        <v>0.50766131244700752</v>
      </c>
      <c r="M35" s="70">
        <f t="shared" si="8"/>
        <v>2.4083946117033861</v>
      </c>
      <c r="N35" s="70">
        <f t="shared" si="9"/>
        <v>-0.14461181474563689</v>
      </c>
      <c r="O35" s="70">
        <f t="shared" si="10"/>
        <v>0.65227312719264419</v>
      </c>
      <c r="P35" s="70">
        <f t="shared" si="11"/>
        <v>0.387748340908036</v>
      </c>
      <c r="Q35" s="73">
        <f t="shared" si="12"/>
        <v>-30.430216587737718</v>
      </c>
      <c r="R35" s="73">
        <f t="shared" si="13"/>
        <v>-26.471209020293504</v>
      </c>
      <c r="S35" s="70">
        <f t="shared" si="14"/>
        <v>8.0603970125546542</v>
      </c>
      <c r="T35" s="70">
        <f t="shared" si="15"/>
        <v>-0.19982864507299022</v>
      </c>
      <c r="U35" s="70">
        <f t="shared" si="16"/>
        <v>6.8402336753562532</v>
      </c>
      <c r="V35" s="72">
        <f t="shared" si="17"/>
        <v>2.070708905132741</v>
      </c>
      <c r="W35" s="74">
        <f t="shared" si="39"/>
        <v>59.588840725168758</v>
      </c>
      <c r="X35" s="75"/>
      <c r="Y35" s="44">
        <f t="shared" si="40"/>
        <v>0.73319870488717309</v>
      </c>
      <c r="Z35" s="45">
        <f t="shared" si="18"/>
        <v>42.009191334492982</v>
      </c>
      <c r="AA35" s="46">
        <f t="shared" si="41"/>
        <v>42.009191334492982</v>
      </c>
      <c r="AB35" s="47">
        <f t="shared" si="42"/>
        <v>6.6300076584369094E-7</v>
      </c>
      <c r="AC35" s="48">
        <f>(Fx*G35+Fy*H35)/Data!AB35</f>
        <v>124.49472481250871</v>
      </c>
      <c r="AD35" s="118">
        <f t="shared" si="43"/>
        <v>50.294857295779508</v>
      </c>
      <c r="AE35" s="85">
        <f t="shared" si="19"/>
        <v>0.87781085663204395</v>
      </c>
      <c r="AF35" s="72">
        <f t="shared" si="20"/>
        <v>-1.0131373786636271</v>
      </c>
      <c r="AG35" s="75">
        <f t="shared" si="21"/>
        <v>1.3124826301693477</v>
      </c>
      <c r="AH35" s="87" t="s">
        <v>36</v>
      </c>
      <c r="AI35" s="87" t="s">
        <v>36</v>
      </c>
      <c r="AJ35" s="75">
        <f t="shared" si="22"/>
        <v>2.2637817969577494</v>
      </c>
      <c r="AK35" s="75">
        <f t="shared" si="23"/>
        <v>7.2245245355188334</v>
      </c>
      <c r="AL35" s="75">
        <f t="shared" si="24"/>
        <v>0.22553696044174654</v>
      </c>
      <c r="AM35" s="75">
        <f t="shared" si="25"/>
        <v>0.50766174444542655</v>
      </c>
      <c r="AN35" s="75">
        <f t="shared" si="26"/>
        <v>2.4083939487026198</v>
      </c>
      <c r="AO35" s="75">
        <f t="shared" si="27"/>
        <v>-0.14461215174487063</v>
      </c>
      <c r="AP35" s="75">
        <f t="shared" si="28"/>
        <v>0.65227389619029674</v>
      </c>
      <c r="AQ35" s="75">
        <f t="shared" si="29"/>
        <v>0.3877486580777052</v>
      </c>
      <c r="AR35" s="88">
        <f t="shared" si="30"/>
        <v>-30.430171437461237</v>
      </c>
      <c r="AS35" s="88">
        <f t="shared" si="31"/>
        <v>-26.471167248723592</v>
      </c>
      <c r="AT35" s="75">
        <f t="shared" si="32"/>
        <v>8.0603970125546542</v>
      </c>
      <c r="AU35" s="75">
        <f t="shared" si="33"/>
        <v>-0.19982864507299022</v>
      </c>
      <c r="AV35" s="75">
        <f t="shared" si="34"/>
        <v>6.840235677175678</v>
      </c>
      <c r="AW35" s="72">
        <f t="shared" si="35"/>
        <v>2.0707076591214744</v>
      </c>
    </row>
    <row r="36" spans="1:49">
      <c r="A36" s="76"/>
      <c r="B36" s="57">
        <f t="shared" si="36"/>
        <v>33</v>
      </c>
      <c r="C36" s="70">
        <f t="shared" si="37"/>
        <v>0.90049564624946621</v>
      </c>
      <c r="D36" s="71">
        <f t="shared" ref="D36:D67" si="44">C36*180/PI()</f>
        <v>51.5946</v>
      </c>
      <c r="E36" s="72">
        <f t="shared" ref="E36:E67" si="45">U36*COS(C36+V36)+a</f>
        <v>-1.0507173465460022</v>
      </c>
      <c r="F36" s="70">
        <f t="shared" ref="F36:F67" si="46">U36*SIN(C36+V36)</f>
        <v>1.3585458687516632</v>
      </c>
      <c r="G36" s="73">
        <f t="shared" ref="G36:G67" si="47">AF36-E36</f>
        <v>-1.6713216188790625E-6</v>
      </c>
      <c r="H36" s="73">
        <f t="shared" ref="H36:H67" si="48">AG36-F36</f>
        <v>2.0253259789271283E-6</v>
      </c>
      <c r="I36" s="70">
        <f t="shared" ref="I36:I67" si="49">PI()-C36</f>
        <v>2.2410970073403269</v>
      </c>
      <c r="J36" s="70">
        <f t="shared" ref="J36:J67" si="50">SQRT(a^2+b^2-2*a*b*COS(I36))</f>
        <v>7.1952794271641913</v>
      </c>
      <c r="K36" s="70">
        <f t="shared" ref="K36:K67" si="51">ACOS((a^2+J36^2-b^2)/(2*a*J36))</f>
        <v>0.23075248992634445</v>
      </c>
      <c r="L36" s="70">
        <f t="shared" ref="L36:L67" si="52">ACOS((d^2+J36^2-cc^2)/(2*d*J36))</f>
        <v>0.51749171596661903</v>
      </c>
      <c r="M36" s="70">
        <f t="shared" ref="M36:M67" si="53">PI()-K36-L36</f>
        <v>2.3933484476968294</v>
      </c>
      <c r="N36" s="70">
        <f t="shared" si="9"/>
        <v>-0.15225144035650251</v>
      </c>
      <c r="O36" s="70">
        <f t="shared" ref="O36:O67" si="54">ACOS((b^2+J36^2-a^2)/(2*b*J36))</f>
        <v>0.66974315632312142</v>
      </c>
      <c r="P36" s="70">
        <f t="shared" ref="P36:P67" si="55">ACOS((cc^2+J36^2-d^2)/(2*cc*J36))</f>
        <v>0.3949565647270703</v>
      </c>
      <c r="Q36" s="73">
        <f t="shared" ref="Q36:Q67" si="56">a*SIN(C36)/SIN(N36)</f>
        <v>-29.451429615917743</v>
      </c>
      <c r="R36" s="73">
        <f t="shared" ref="R36:R67" si="57">a*SIN(M36)/SIN(N36)</f>
        <v>-25.569775704409125</v>
      </c>
      <c r="S36" s="70">
        <f t="shared" ref="S36:S67" si="58">SQRT(rr^2+s^2)</f>
        <v>8.0603970125546542</v>
      </c>
      <c r="T36" s="70">
        <f t="shared" ref="T36:T67" si="59">ASIN(s/S36)</f>
        <v>-0.19982864507299022</v>
      </c>
      <c r="U36" s="70">
        <f t="shared" ref="U36:U67" si="60">SQRT(S36^2+b^2-2*S36*b*COS(T36+P36+O36))</f>
        <v>6.8860606714186972</v>
      </c>
      <c r="V36" s="72">
        <f t="shared" ref="V36:V67" si="61">ACOS((b^2+U36^2-S36^2)/(2*b*U36))*IF(O36+P36+T36&gt;PI(),-1,1)</f>
        <v>2.042504938647177</v>
      </c>
      <c r="W36" s="74">
        <f t="shared" si="39"/>
        <v>61.002800464932029</v>
      </c>
      <c r="X36" s="75"/>
      <c r="Y36" s="44">
        <f t="shared" si="40"/>
        <v>0.74824486933594314</v>
      </c>
      <c r="Z36" s="45">
        <f t="shared" si="18"/>
        <v>42.871273055267295</v>
      </c>
      <c r="AA36" s="46">
        <f t="shared" si="41"/>
        <v>42.871273055267295</v>
      </c>
      <c r="AB36" s="47">
        <f t="shared" si="42"/>
        <v>6.6344297966480781E-7</v>
      </c>
      <c r="AC36" s="48">
        <f>(Fx*G36+Fy*H36)/Data!AB36</f>
        <v>123.3073398434566</v>
      </c>
      <c r="AD36" s="118">
        <f t="shared" si="43"/>
        <v>51.594657295779513</v>
      </c>
      <c r="AE36" s="85">
        <f t="shared" ref="AE36:AE67" si="62">C36+domega</f>
        <v>0.90049664624946624</v>
      </c>
      <c r="AF36" s="72">
        <f t="shared" ref="AF36:AF67" si="63">AV36*COS(AE36+AW36)+a</f>
        <v>-1.0507190178676211</v>
      </c>
      <c r="AG36" s="75">
        <f t="shared" ref="AG36:AG67" si="64">AV36*SIN(AE36+AW36)</f>
        <v>1.3585478940776421</v>
      </c>
      <c r="AH36" s="87" t="s">
        <v>36</v>
      </c>
      <c r="AI36" s="87" t="s">
        <v>36</v>
      </c>
      <c r="AJ36" s="75">
        <f t="shared" ref="AJ36:AJ67" si="65">PI()-AE36</f>
        <v>2.2410960073403268</v>
      </c>
      <c r="AK36" s="75">
        <f t="shared" ref="AK36:AK67" si="66">SQRT(a^2+b^2-2*a*b*COS(AJ36))</f>
        <v>7.1952781235157985</v>
      </c>
      <c r="AL36" s="75">
        <f t="shared" ref="AL36:AL67" si="67">ACOS((a^2+AK36^2-b^2)/(2*a*AK36))</f>
        <v>0.23075271873747671</v>
      </c>
      <c r="AM36" s="75">
        <f t="shared" ref="AM36:AM67" si="68">ACOS((d^2+AK36^2-cc^2)/(2*d*AK36))</f>
        <v>0.51749215059846643</v>
      </c>
      <c r="AN36" s="75">
        <f t="shared" ref="AN36:AN67" si="69">PI()-AL36-AM36</f>
        <v>2.3933477842538502</v>
      </c>
      <c r="AO36" s="75">
        <f t="shared" ref="AO36:AO67" si="70">IF(ABS(PI()-AN36-AE36)&lt;0.0000000001,0.0000000001,PI()-AN36-AE36)</f>
        <v>-0.15225177691352332</v>
      </c>
      <c r="AP36" s="75">
        <f t="shared" ref="AP36:AP67" si="71">ACOS((b^2+AK36^2-a^2)/(2*b*AK36))</f>
        <v>0.66974392751198952</v>
      </c>
      <c r="AQ36" s="75">
        <f t="shared" ref="AQ36:AQ67" si="72">ACOS((cc^2+AK36^2-d^2)/(2*cc*AK36))</f>
        <v>0.39495688301505671</v>
      </c>
      <c r="AR36" s="88">
        <f t="shared" ref="AR36:AR67" si="73">a*SIN(AE36)/SIN(AO36)</f>
        <v>-29.451388363859266</v>
      </c>
      <c r="AS36" s="88">
        <f t="shared" ref="AS36:AS67" si="74">a*SIN(AN36)/SIN(AO36)</f>
        <v>-25.569737892965062</v>
      </c>
      <c r="AT36" s="75">
        <f t="shared" ref="AT36:AT67" si="75">SQRT(rr^2+s^2)</f>
        <v>8.0603970125546542</v>
      </c>
      <c r="AU36" s="75">
        <f t="shared" ref="AU36:AU67" si="76">ASIN(s/AT36)</f>
        <v>-0.19982864507299022</v>
      </c>
      <c r="AV36" s="75">
        <f t="shared" ref="AV36:AV67" si="77">SQRT(AT36^2+b^2-2*AT36*b*COS(AU36+AQ36+AP36))</f>
        <v>6.8860627094663007</v>
      </c>
      <c r="AW36" s="72">
        <f t="shared" ref="AW36:AW67" si="78">ACOS((b^2+AV36^2-AT36^2)/(2*b*AV36))*IF(AP36+AQ36+AU36&gt;PI(),-1,1)</f>
        <v>2.0425036981926392</v>
      </c>
    </row>
    <row r="37" spans="1:49">
      <c r="A37" s="76"/>
      <c r="B37" s="57">
        <f t="shared" ref="B37:B68" si="79">B36+1</f>
        <v>34</v>
      </c>
      <c r="C37" s="70">
        <f t="shared" ref="C37:C68" si="80">C36+omegainc</f>
        <v>0.9231814358668885</v>
      </c>
      <c r="D37" s="71">
        <f t="shared" si="44"/>
        <v>52.89439999999999</v>
      </c>
      <c r="E37" s="72">
        <f t="shared" si="45"/>
        <v>-1.0889584270531456</v>
      </c>
      <c r="F37" s="70">
        <f t="shared" si="46"/>
        <v>1.4043631905644447</v>
      </c>
      <c r="G37" s="73">
        <f t="shared" si="47"/>
        <v>-1.6998756979802465E-6</v>
      </c>
      <c r="H37" s="73">
        <f t="shared" si="48"/>
        <v>2.0137655456498038E-6</v>
      </c>
      <c r="I37" s="70">
        <f t="shared" si="49"/>
        <v>2.2184112177229047</v>
      </c>
      <c r="J37" s="70">
        <f t="shared" si="50"/>
        <v>7.1653796403921817</v>
      </c>
      <c r="K37" s="70">
        <f t="shared" si="51"/>
        <v>0.23591767373254791</v>
      </c>
      <c r="L37" s="70">
        <f t="shared" si="52"/>
        <v>0.52738004758264201</v>
      </c>
      <c r="M37" s="70">
        <f t="shared" si="53"/>
        <v>2.3782949322746036</v>
      </c>
      <c r="N37" s="70">
        <f t="shared" si="9"/>
        <v>-0.15988371455169903</v>
      </c>
      <c r="O37" s="70">
        <f t="shared" si="54"/>
        <v>0.6872637621343396</v>
      </c>
      <c r="P37" s="70">
        <f t="shared" si="55"/>
        <v>0.4021884174071817</v>
      </c>
      <c r="Q37" s="73">
        <f t="shared" si="56"/>
        <v>-28.553989215018213</v>
      </c>
      <c r="R37" s="73">
        <f t="shared" si="57"/>
        <v>-24.751076159012801</v>
      </c>
      <c r="S37" s="70">
        <f t="shared" si="58"/>
        <v>8.0603970125546542</v>
      </c>
      <c r="T37" s="70">
        <f t="shared" si="59"/>
        <v>-0.19982864507299022</v>
      </c>
      <c r="U37" s="70">
        <f t="shared" si="60"/>
        <v>6.9326901340870757</v>
      </c>
      <c r="V37" s="72">
        <f t="shared" si="61"/>
        <v>2.0144283955874092</v>
      </c>
      <c r="W37" s="74">
        <f t="shared" si="39"/>
        <v>62.421011869057978</v>
      </c>
      <c r="X37" s="75"/>
      <c r="Y37" s="44">
        <f t="shared" si="40"/>
        <v>0.7632983849654944</v>
      </c>
      <c r="Z37" s="45">
        <f t="shared" si="18"/>
        <v>43.733775967674795</v>
      </c>
      <c r="AA37" s="46">
        <f t="shared" si="41"/>
        <v>43.733775967674795</v>
      </c>
      <c r="AB37" s="47">
        <f t="shared" si="42"/>
        <v>6.6365030448878315E-7</v>
      </c>
      <c r="AC37" s="48">
        <f>(Fx*G37+Fy*H37)/Data!AB37</f>
        <v>122.08674877675419</v>
      </c>
      <c r="AD37" s="118">
        <f t="shared" si="43"/>
        <v>52.894457295779503</v>
      </c>
      <c r="AE37" s="85">
        <f t="shared" si="62"/>
        <v>0.92318243586688853</v>
      </c>
      <c r="AF37" s="72">
        <f t="shared" si="63"/>
        <v>-1.0889601269288436</v>
      </c>
      <c r="AG37" s="75">
        <f t="shared" si="64"/>
        <v>1.4043652043299903</v>
      </c>
      <c r="AH37" s="87" t="s">
        <v>36</v>
      </c>
      <c r="AI37" s="87" t="s">
        <v>36</v>
      </c>
      <c r="AJ37" s="75">
        <f t="shared" si="65"/>
        <v>2.2184102177229046</v>
      </c>
      <c r="AK37" s="75">
        <f t="shared" si="66"/>
        <v>7.1653783081001263</v>
      </c>
      <c r="AL37" s="75">
        <f t="shared" si="67"/>
        <v>0.2359179002757168</v>
      </c>
      <c r="AM37" s="75">
        <f t="shared" si="68"/>
        <v>0.52738048468977761</v>
      </c>
      <c r="AN37" s="75">
        <f t="shared" si="69"/>
        <v>2.3782942686242987</v>
      </c>
      <c r="AO37" s="75">
        <f t="shared" si="70"/>
        <v>-0.15988405090139413</v>
      </c>
      <c r="AP37" s="75">
        <f t="shared" si="71"/>
        <v>0.68726453559117096</v>
      </c>
      <c r="AQ37" s="75">
        <f t="shared" si="72"/>
        <v>0.40218873666124733</v>
      </c>
      <c r="AR37" s="88">
        <f t="shared" si="73"/>
        <v>-28.553951257964471</v>
      </c>
      <c r="AS37" s="88">
        <f t="shared" si="74"/>
        <v>-24.751041702955774</v>
      </c>
      <c r="AT37" s="75">
        <f t="shared" si="75"/>
        <v>8.0603970125546542</v>
      </c>
      <c r="AU37" s="75">
        <f t="shared" si="76"/>
        <v>-0.19982864507299022</v>
      </c>
      <c r="AV37" s="75">
        <f t="shared" si="77"/>
        <v>6.9326922066512164</v>
      </c>
      <c r="AW37" s="72">
        <f t="shared" si="78"/>
        <v>2.0144271608056865</v>
      </c>
    </row>
    <row r="38" spans="1:49">
      <c r="A38" s="55"/>
      <c r="B38" s="57">
        <f t="shared" si="79"/>
        <v>35</v>
      </c>
      <c r="C38" s="70">
        <f t="shared" si="80"/>
        <v>0.94586722548431079</v>
      </c>
      <c r="D38" s="71">
        <f t="shared" si="44"/>
        <v>54.194199999999995</v>
      </c>
      <c r="E38" s="72">
        <f t="shared" si="45"/>
        <v>-1.1278354791015461</v>
      </c>
      <c r="F38" s="70">
        <f t="shared" si="46"/>
        <v>1.4499046411181997</v>
      </c>
      <c r="G38" s="73">
        <f t="shared" si="47"/>
        <v>-1.7273871444345446E-6</v>
      </c>
      <c r="H38" s="73">
        <f t="shared" si="48"/>
        <v>2.0010197132602769E-6</v>
      </c>
      <c r="I38" s="70">
        <f t="shared" si="49"/>
        <v>2.1957254281054821</v>
      </c>
      <c r="J38" s="70">
        <f t="shared" si="50"/>
        <v>7.1348337205171468</v>
      </c>
      <c r="K38" s="70">
        <f t="shared" si="51"/>
        <v>0.24103051982036883</v>
      </c>
      <c r="L38" s="70">
        <f t="shared" si="52"/>
        <v>0.53732283423397775</v>
      </c>
      <c r="M38" s="70">
        <f t="shared" si="53"/>
        <v>2.3632392995354463</v>
      </c>
      <c r="N38" s="70">
        <f t="shared" si="9"/>
        <v>-0.16751387142996399</v>
      </c>
      <c r="O38" s="70">
        <f t="shared" si="54"/>
        <v>0.70483670566394208</v>
      </c>
      <c r="P38" s="70">
        <f t="shared" si="55"/>
        <v>0.40944052866116309</v>
      </c>
      <c r="Q38" s="73">
        <f t="shared" si="56"/>
        <v>-27.725565706902003</v>
      </c>
      <c r="R38" s="73">
        <f t="shared" si="57"/>
        <v>-24.002745659813638</v>
      </c>
      <c r="S38" s="70">
        <f t="shared" si="58"/>
        <v>8.0603970125546542</v>
      </c>
      <c r="T38" s="70">
        <f t="shared" si="59"/>
        <v>-0.19982864507299022</v>
      </c>
      <c r="U38" s="70">
        <f t="shared" si="60"/>
        <v>6.9800831512249149</v>
      </c>
      <c r="V38" s="72">
        <f t="shared" si="61"/>
        <v>1.9864816280120219</v>
      </c>
      <c r="W38" s="74">
        <f t="shared" si="39"/>
        <v>63.843382734338384</v>
      </c>
      <c r="X38" s="75"/>
      <c r="Y38" s="44">
        <f t="shared" si="40"/>
        <v>0.77835401768527102</v>
      </c>
      <c r="Z38" s="45">
        <f t="shared" si="18"/>
        <v>44.596400180417071</v>
      </c>
      <c r="AA38" s="46">
        <f t="shared" si="41"/>
        <v>44.596400180417071</v>
      </c>
      <c r="AB38" s="47">
        <f t="shared" si="42"/>
        <v>6.6363092443566529E-7</v>
      </c>
      <c r="AC38" s="48">
        <f>(Fx*G38+Fy*H38)/Data!AB38</f>
        <v>120.83686916213637</v>
      </c>
      <c r="AD38" s="118">
        <f t="shared" si="43"/>
        <v>54.194257295779508</v>
      </c>
      <c r="AE38" s="85">
        <f t="shared" si="62"/>
        <v>0.94586822548431082</v>
      </c>
      <c r="AF38" s="72">
        <f t="shared" si="63"/>
        <v>-1.1278372064886906</v>
      </c>
      <c r="AG38" s="75">
        <f t="shared" si="64"/>
        <v>1.449906642137913</v>
      </c>
      <c r="AH38" s="87" t="s">
        <v>36</v>
      </c>
      <c r="AI38" s="87" t="s">
        <v>36</v>
      </c>
      <c r="AJ38" s="75">
        <f t="shared" si="65"/>
        <v>2.1957244281054824</v>
      </c>
      <c r="AK38" s="75">
        <f t="shared" si="66"/>
        <v>7.1348323599066736</v>
      </c>
      <c r="AL38" s="75">
        <f t="shared" si="67"/>
        <v>0.24103074401705582</v>
      </c>
      <c r="AM38" s="75">
        <f t="shared" si="68"/>
        <v>0.5373232736682152</v>
      </c>
      <c r="AN38" s="75">
        <f t="shared" si="69"/>
        <v>2.3632386359045219</v>
      </c>
      <c r="AO38" s="75">
        <f t="shared" si="70"/>
        <v>-0.16751420779903958</v>
      </c>
      <c r="AP38" s="75">
        <f t="shared" si="71"/>
        <v>0.70483748146725433</v>
      </c>
      <c r="AQ38" s="75">
        <f t="shared" si="72"/>
        <v>0.40944084873630993</v>
      </c>
      <c r="AR38" s="88">
        <f t="shared" si="73"/>
        <v>-27.725530556119825</v>
      </c>
      <c r="AS38" s="88">
        <f t="shared" si="74"/>
        <v>-24.002714068846682</v>
      </c>
      <c r="AT38" s="75">
        <f t="shared" si="75"/>
        <v>8.0603970125546542</v>
      </c>
      <c r="AU38" s="75">
        <f t="shared" si="76"/>
        <v>-0.19982864507299022</v>
      </c>
      <c r="AV38" s="75">
        <f t="shared" si="77"/>
        <v>6.9800852565872669</v>
      </c>
      <c r="AW38" s="72">
        <f t="shared" si="78"/>
        <v>1.9864803989946584</v>
      </c>
    </row>
    <row r="39" spans="1:49">
      <c r="A39" s="55"/>
      <c r="B39" s="57">
        <f t="shared" si="79"/>
        <v>36</v>
      </c>
      <c r="C39" s="70">
        <f t="shared" si="80"/>
        <v>0.96855301510173308</v>
      </c>
      <c r="D39" s="71">
        <f t="shared" si="44"/>
        <v>55.493999999999993</v>
      </c>
      <c r="E39" s="72">
        <f t="shared" si="45"/>
        <v>-1.1673246957049708</v>
      </c>
      <c r="F39" s="70">
        <f t="shared" si="46"/>
        <v>1.4951443245367453</v>
      </c>
      <c r="G39" s="73">
        <f t="shared" si="47"/>
        <v>-1.7538423691121352E-6</v>
      </c>
      <c r="H39" s="73">
        <f t="shared" si="48"/>
        <v>1.9871756216094383E-6</v>
      </c>
      <c r="I39" s="70">
        <f t="shared" si="49"/>
        <v>2.1730396384880599</v>
      </c>
      <c r="J39" s="70">
        <f t="shared" si="50"/>
        <v>7.1036491548015857</v>
      </c>
      <c r="K39" s="70">
        <f t="shared" si="51"/>
        <v>0.24608922627302054</v>
      </c>
      <c r="L39" s="70">
        <f t="shared" si="52"/>
        <v>0.54731681949079936</v>
      </c>
      <c r="M39" s="70">
        <f t="shared" si="53"/>
        <v>2.3481866078259737</v>
      </c>
      <c r="N39" s="70">
        <f t="shared" si="9"/>
        <v>-0.17514696933791363</v>
      </c>
      <c r="O39" s="70">
        <f t="shared" si="54"/>
        <v>0.72246378882871209</v>
      </c>
      <c r="P39" s="70">
        <f t="shared" si="55"/>
        <v>0.41670968520800633</v>
      </c>
      <c r="Q39" s="73">
        <f t="shared" si="56"/>
        <v>-26.956120843015356</v>
      </c>
      <c r="R39" s="73">
        <f t="shared" si="57"/>
        <v>-23.314710069278458</v>
      </c>
      <c r="S39" s="70">
        <f t="shared" si="58"/>
        <v>8.0603970125546542</v>
      </c>
      <c r="T39" s="70">
        <f t="shared" si="59"/>
        <v>-0.19982864507299022</v>
      </c>
      <c r="U39" s="70">
        <f t="shared" si="60"/>
        <v>7.0282006962972972</v>
      </c>
      <c r="V39" s="72">
        <f t="shared" si="61"/>
        <v>1.958666449333279</v>
      </c>
      <c r="W39" s="74">
        <f t="shared" si="39"/>
        <v>65.269832195559815</v>
      </c>
      <c r="X39" s="75"/>
      <c r="Y39" s="44">
        <f t="shared" si="40"/>
        <v>0.79340670915598022</v>
      </c>
      <c r="Z39" s="45">
        <f t="shared" si="18"/>
        <v>45.458855872001273</v>
      </c>
      <c r="AA39" s="46">
        <f t="shared" si="41"/>
        <v>45.458855872001273</v>
      </c>
      <c r="AB39" s="47">
        <f t="shared" si="42"/>
        <v>6.6339216031607862E-7</v>
      </c>
      <c r="AC39" s="48">
        <f>(Fx*G39+Fy*H39)/Data!AB39</f>
        <v>119.56147766591742</v>
      </c>
      <c r="AD39" s="118">
        <f t="shared" si="43"/>
        <v>55.494057295779506</v>
      </c>
      <c r="AE39" s="85">
        <f t="shared" si="62"/>
        <v>0.96855401510173311</v>
      </c>
      <c r="AF39" s="72">
        <f t="shared" si="63"/>
        <v>-1.1673264495473399</v>
      </c>
      <c r="AG39" s="75">
        <f t="shared" si="64"/>
        <v>1.4951463117123669</v>
      </c>
      <c r="AH39" s="87" t="s">
        <v>36</v>
      </c>
      <c r="AI39" s="87" t="s">
        <v>36</v>
      </c>
      <c r="AJ39" s="75">
        <f t="shared" si="65"/>
        <v>2.1730386384880598</v>
      </c>
      <c r="AK39" s="75">
        <f t="shared" si="66"/>
        <v>7.1036477662075574</v>
      </c>
      <c r="AL39" s="75">
        <f t="shared" si="67"/>
        <v>0.24608944804287325</v>
      </c>
      <c r="AM39" s="75">
        <f t="shared" si="68"/>
        <v>0.54731726111310697</v>
      </c>
      <c r="AN39" s="75">
        <f t="shared" si="69"/>
        <v>2.3481859444338129</v>
      </c>
      <c r="AO39" s="75">
        <f t="shared" si="70"/>
        <v>-0.1751473059457529</v>
      </c>
      <c r="AP39" s="75">
        <f t="shared" si="71"/>
        <v>0.72246456705885997</v>
      </c>
      <c r="AQ39" s="75">
        <f t="shared" si="72"/>
        <v>0.4167100059658464</v>
      </c>
      <c r="AR39" s="88">
        <f t="shared" si="73"/>
        <v>-26.956088098604933</v>
      </c>
      <c r="AS39" s="88">
        <f t="shared" si="74"/>
        <v>-23.314680941901937</v>
      </c>
      <c r="AT39" s="75">
        <f t="shared" si="75"/>
        <v>8.0603970125546542</v>
      </c>
      <c r="AU39" s="75">
        <f t="shared" si="76"/>
        <v>-0.19982864507299022</v>
      </c>
      <c r="AV39" s="75">
        <f t="shared" si="77"/>
        <v>7.0282028327360884</v>
      </c>
      <c r="AW39" s="72">
        <f t="shared" si="78"/>
        <v>1.9586652261488602</v>
      </c>
    </row>
    <row r="40" spans="1:49">
      <c r="A40" s="55"/>
      <c r="B40" s="57">
        <f t="shared" si="79"/>
        <v>37</v>
      </c>
      <c r="C40" s="70">
        <f t="shared" si="80"/>
        <v>0.99123880471915538</v>
      </c>
      <c r="D40" s="71">
        <f t="shared" si="44"/>
        <v>56.79379999999999</v>
      </c>
      <c r="E40" s="72">
        <f t="shared" si="45"/>
        <v>-1.2074019609044413</v>
      </c>
      <c r="F40" s="70">
        <f t="shared" si="46"/>
        <v>1.5400582767920019</v>
      </c>
      <c r="G40" s="73">
        <f t="shared" si="47"/>
        <v>-1.7792277207107077E-6</v>
      </c>
      <c r="H40" s="73">
        <f t="shared" si="48"/>
        <v>1.9723164959017936E-6</v>
      </c>
      <c r="I40" s="70">
        <f t="shared" si="49"/>
        <v>2.1503538488706377</v>
      </c>
      <c r="J40" s="70">
        <f t="shared" si="50"/>
        <v>7.0718336504446944</v>
      </c>
      <c r="K40" s="70">
        <f t="shared" si="51"/>
        <v>0.25109194871815133</v>
      </c>
      <c r="L40" s="70">
        <f t="shared" si="52"/>
        <v>0.55735894604361613</v>
      </c>
      <c r="M40" s="70">
        <f t="shared" si="53"/>
        <v>2.3331417588280257</v>
      </c>
      <c r="N40" s="70">
        <f t="shared" si="9"/>
        <v>-0.18278790995738792</v>
      </c>
      <c r="O40" s="70">
        <f t="shared" si="54"/>
        <v>0.74014685600100305</v>
      </c>
      <c r="P40" s="70">
        <f t="shared" si="55"/>
        <v>0.42399281701891578</v>
      </c>
      <c r="Q40" s="73">
        <f t="shared" si="56"/>
        <v>-26.237405089326934</v>
      </c>
      <c r="R40" s="73">
        <f t="shared" si="57"/>
        <v>-22.67868317115699</v>
      </c>
      <c r="S40" s="70">
        <f t="shared" si="58"/>
        <v>8.0603970125546542</v>
      </c>
      <c r="T40" s="70">
        <f t="shared" si="59"/>
        <v>-0.19982864507299022</v>
      </c>
      <c r="U40" s="70">
        <f t="shared" si="60"/>
        <v>7.0770036982766991</v>
      </c>
      <c r="V40" s="72">
        <f t="shared" si="61"/>
        <v>1.9309841696589258</v>
      </c>
      <c r="W40" s="74">
        <f t="shared" si="39"/>
        <v>66.700290027781023</v>
      </c>
      <c r="X40" s="75"/>
      <c r="Y40" s="44">
        <f t="shared" si="40"/>
        <v>0.80845155770228216</v>
      </c>
      <c r="Z40" s="45">
        <f t="shared" si="18"/>
        <v>46.320862197117904</v>
      </c>
      <c r="AA40" s="46">
        <f t="shared" si="41"/>
        <v>46.320862197117904</v>
      </c>
      <c r="AB40" s="47">
        <f t="shared" si="42"/>
        <v>6.6294051470627835E-7</v>
      </c>
      <c r="AC40" s="48">
        <f>(Fx*G40+Fy*H40)/Data!AB40</f>
        <v>118.26422654698982</v>
      </c>
      <c r="AD40" s="118">
        <f t="shared" si="43"/>
        <v>56.793857295779503</v>
      </c>
      <c r="AE40" s="85">
        <f t="shared" si="62"/>
        <v>0.9912398047191554</v>
      </c>
      <c r="AF40" s="72">
        <f t="shared" si="63"/>
        <v>-1.207403740132162</v>
      </c>
      <c r="AG40" s="75">
        <f t="shared" si="64"/>
        <v>1.5400602491084978</v>
      </c>
      <c r="AH40" s="87" t="s">
        <v>36</v>
      </c>
      <c r="AI40" s="87" t="s">
        <v>36</v>
      </c>
      <c r="AJ40" s="75">
        <f t="shared" si="65"/>
        <v>2.1503528488706376</v>
      </c>
      <c r="AK40" s="75">
        <f t="shared" si="66"/>
        <v>7.0718322342117483</v>
      </c>
      <c r="AL40" s="75">
        <f t="shared" si="67"/>
        <v>0.25109216797891043</v>
      </c>
      <c r="AM40" s="75">
        <f t="shared" si="68"/>
        <v>0.55735938972337173</v>
      </c>
      <c r="AN40" s="75">
        <f t="shared" si="69"/>
        <v>2.3331410958875107</v>
      </c>
      <c r="AO40" s="75">
        <f t="shared" si="70"/>
        <v>-0.18278824701687302</v>
      </c>
      <c r="AP40" s="75">
        <f t="shared" si="71"/>
        <v>0.74014763674024453</v>
      </c>
      <c r="AQ40" s="75">
        <f t="shared" si="72"/>
        <v>0.42399313832708718</v>
      </c>
      <c r="AR40" s="88">
        <f t="shared" si="73"/>
        <v>-26.237374421168575</v>
      </c>
      <c r="AS40" s="88">
        <f t="shared" si="74"/>
        <v>-22.678656175617459</v>
      </c>
      <c r="AT40" s="75">
        <f t="shared" si="75"/>
        <v>8.0603970125546542</v>
      </c>
      <c r="AU40" s="75">
        <f t="shared" si="76"/>
        <v>-0.19982864507299022</v>
      </c>
      <c r="AV40" s="75">
        <f t="shared" si="77"/>
        <v>7.0770058640696289</v>
      </c>
      <c r="AW40" s="72">
        <f t="shared" si="78"/>
        <v>1.9309829523546131</v>
      </c>
    </row>
    <row r="41" spans="1:49">
      <c r="A41" s="55"/>
      <c r="B41" s="57">
        <f t="shared" si="79"/>
        <v>38</v>
      </c>
      <c r="C41" s="70">
        <f t="shared" si="80"/>
        <v>1.0139245943365778</v>
      </c>
      <c r="D41" s="71">
        <f t="shared" si="44"/>
        <v>58.093599999999995</v>
      </c>
      <c r="E41" s="72">
        <f t="shared" si="45"/>
        <v>-1.2480428483598036</v>
      </c>
      <c r="F41" s="70">
        <f t="shared" si="46"/>
        <v>1.5846243828737874</v>
      </c>
      <c r="G41" s="73">
        <f t="shared" si="47"/>
        <v>-1.8035294848672834E-6</v>
      </c>
      <c r="H41" s="73">
        <f t="shared" si="48"/>
        <v>1.9565221658357501E-6</v>
      </c>
      <c r="I41" s="70">
        <f t="shared" si="49"/>
        <v>2.1276680592532156</v>
      </c>
      <c r="J41" s="70">
        <f t="shared" si="50"/>
        <v>7.0393951380504021</v>
      </c>
      <c r="K41" s="70">
        <f t="shared" si="51"/>
        <v>0.25603679870877083</v>
      </c>
      <c r="L41" s="70">
        <f t="shared" si="52"/>
        <v>0.56744633949995382</v>
      </c>
      <c r="M41" s="70">
        <f t="shared" si="53"/>
        <v>2.3181095153810682</v>
      </c>
      <c r="N41" s="70">
        <f t="shared" si="9"/>
        <v>-0.1904414561278529</v>
      </c>
      <c r="O41" s="70">
        <f t="shared" si="54"/>
        <v>0.75788779562780628</v>
      </c>
      <c r="P41" s="70">
        <f t="shared" si="55"/>
        <v>0.43128698458719406</v>
      </c>
      <c r="Q41" s="73">
        <f t="shared" si="56"/>
        <v>-25.562581659641346</v>
      </c>
      <c r="R41" s="73">
        <f t="shared" si="57"/>
        <v>-22.087790751247304</v>
      </c>
      <c r="S41" s="70">
        <f t="shared" si="58"/>
        <v>8.0603970125546542</v>
      </c>
      <c r="T41" s="70">
        <f t="shared" si="59"/>
        <v>-0.19982864507299022</v>
      </c>
      <c r="U41" s="70">
        <f t="shared" si="60"/>
        <v>7.1264531049773945</v>
      </c>
      <c r="V41" s="72">
        <f t="shared" si="61"/>
        <v>1.9034356295924104</v>
      </c>
      <c r="W41" s="74">
        <f t="shared" si="39"/>
        <v>68.134696009716791</v>
      </c>
      <c r="X41" s="75"/>
      <c r="Y41" s="44">
        <f t="shared" si="40"/>
        <v>0.82348380049045611</v>
      </c>
      <c r="Z41" s="45">
        <f t="shared" si="18"/>
        <v>47.18214626549625</v>
      </c>
      <c r="AA41" s="46">
        <f t="shared" si="41"/>
        <v>47.18214626549625</v>
      </c>
      <c r="AB41" s="47">
        <f t="shared" si="42"/>
        <v>6.6228173145610469E-7</v>
      </c>
      <c r="AC41" s="48">
        <f>(Fx*G41+Fy*H41)/Data!AB41</f>
        <v>116.94867638412585</v>
      </c>
      <c r="AD41" s="118">
        <f t="shared" si="43"/>
        <v>58.093657295779508</v>
      </c>
      <c r="AE41" s="85">
        <f t="shared" si="62"/>
        <v>1.0139255943365777</v>
      </c>
      <c r="AF41" s="72">
        <f t="shared" si="63"/>
        <v>-1.2480446518892885</v>
      </c>
      <c r="AG41" s="75">
        <f t="shared" si="64"/>
        <v>1.5846263393959532</v>
      </c>
      <c r="AH41" s="87" t="s">
        <v>36</v>
      </c>
      <c r="AI41" s="87" t="s">
        <v>36</v>
      </c>
      <c r="AJ41" s="75">
        <f t="shared" si="65"/>
        <v>2.1276670592532154</v>
      </c>
      <c r="AK41" s="75">
        <f t="shared" si="66"/>
        <v>7.0393936945330982</v>
      </c>
      <c r="AL41" s="75">
        <f t="shared" si="67"/>
        <v>0.2560370153761955</v>
      </c>
      <c r="AM41" s="75">
        <f t="shared" si="68"/>
        <v>0.56744678511426061</v>
      </c>
      <c r="AN41" s="75">
        <f t="shared" si="69"/>
        <v>2.318108853099337</v>
      </c>
      <c r="AO41" s="75">
        <f t="shared" si="70"/>
        <v>-0.19044179384612159</v>
      </c>
      <c r="AP41" s="75">
        <f t="shared" si="71"/>
        <v>0.75788857896038142</v>
      </c>
      <c r="AQ41" s="75">
        <f t="shared" si="72"/>
        <v>0.43128730631882295</v>
      </c>
      <c r="AR41" s="88">
        <f t="shared" si="73"/>
        <v>-25.562552793043594</v>
      </c>
      <c r="AS41" s="88">
        <f t="shared" si="74"/>
        <v>-22.087765611187688</v>
      </c>
      <c r="AT41" s="75">
        <f t="shared" si="75"/>
        <v>8.0603970125546542</v>
      </c>
      <c r="AU41" s="75">
        <f t="shared" si="76"/>
        <v>-0.19982864507299022</v>
      </c>
      <c r="AV41" s="75">
        <f t="shared" si="77"/>
        <v>7.126455298404303</v>
      </c>
      <c r="AW41" s="72">
        <f t="shared" si="78"/>
        <v>1.9034344181953882</v>
      </c>
    </row>
    <row r="42" spans="1:49">
      <c r="A42" s="55"/>
      <c r="B42" s="57">
        <f t="shared" si="79"/>
        <v>39</v>
      </c>
      <c r="C42" s="70">
        <f t="shared" si="80"/>
        <v>1.0366103839540002</v>
      </c>
      <c r="D42" s="71">
        <f t="shared" si="44"/>
        <v>59.3934</v>
      </c>
      <c r="E42" s="72">
        <f t="shared" si="45"/>
        <v>-1.2892226199085774</v>
      </c>
      <c r="F42" s="70">
        <f t="shared" si="46"/>
        <v>1.628822301668911</v>
      </c>
      <c r="G42" s="73">
        <f t="shared" si="47"/>
        <v>-1.8267338850463943E-6</v>
      </c>
      <c r="H42" s="73">
        <f t="shared" si="48"/>
        <v>1.9398692550076646E-6</v>
      </c>
      <c r="I42" s="70">
        <f t="shared" si="49"/>
        <v>2.1049822696357929</v>
      </c>
      <c r="J42" s="70">
        <f t="shared" si="50"/>
        <v>7.0063417752714727</v>
      </c>
      <c r="K42" s="70">
        <f t="shared" si="51"/>
        <v>0.26092184206076752</v>
      </c>
      <c r="L42" s="70">
        <f t="shared" si="52"/>
        <v>0.57757629338846239</v>
      </c>
      <c r="M42" s="70">
        <f t="shared" si="53"/>
        <v>2.3030945181405631</v>
      </c>
      <c r="N42" s="70">
        <f t="shared" si="9"/>
        <v>-0.19811224850477016</v>
      </c>
      <c r="O42" s="70">
        <f t="shared" si="54"/>
        <v>0.77568854189323211</v>
      </c>
      <c r="P42" s="70">
        <f t="shared" si="55"/>
        <v>0.43858936714686192</v>
      </c>
      <c r="Q42" s="73">
        <f t="shared" si="56"/>
        <v>-24.925941518915351</v>
      </c>
      <c r="R42" s="73">
        <f t="shared" si="57"/>
        <v>-21.536285646355829</v>
      </c>
      <c r="S42" s="70">
        <f t="shared" si="58"/>
        <v>8.0603970125546542</v>
      </c>
      <c r="T42" s="70">
        <f t="shared" si="59"/>
        <v>-0.19982864507299022</v>
      </c>
      <c r="U42" s="70">
        <f t="shared" si="60"/>
        <v>7.1765099401488834</v>
      </c>
      <c r="V42" s="72">
        <f t="shared" si="61"/>
        <v>1.8760212324681653</v>
      </c>
      <c r="W42" s="74">
        <f t="shared" si="39"/>
        <v>69.572999343967851</v>
      </c>
      <c r="X42" s="75"/>
      <c r="Y42" s="44">
        <f t="shared" si="40"/>
        <v>0.838498796870077</v>
      </c>
      <c r="Z42" s="45">
        <f t="shared" si="18"/>
        <v>48.042442187452735</v>
      </c>
      <c r="AA42" s="46">
        <f t="shared" si="41"/>
        <v>48.042442187452735</v>
      </c>
      <c r="AB42" s="47">
        <f t="shared" si="42"/>
        <v>6.6142084709230886E-7</v>
      </c>
      <c r="AC42" s="48">
        <f>(Fx*G42+Fy*H42)/Data!AB42</f>
        <v>115.61830593564761</v>
      </c>
      <c r="AD42" s="118">
        <f t="shared" si="43"/>
        <v>59.393457295779513</v>
      </c>
      <c r="AE42" s="85">
        <f t="shared" si="62"/>
        <v>1.0366113839540001</v>
      </c>
      <c r="AF42" s="72">
        <f t="shared" si="63"/>
        <v>-1.2892244466424625</v>
      </c>
      <c r="AG42" s="75">
        <f t="shared" si="64"/>
        <v>1.628824241538166</v>
      </c>
      <c r="AH42" s="87" t="s">
        <v>36</v>
      </c>
      <c r="AI42" s="87" t="s">
        <v>36</v>
      </c>
      <c r="AJ42" s="75">
        <f t="shared" si="65"/>
        <v>2.1049812696357932</v>
      </c>
      <c r="AK42" s="75">
        <f t="shared" si="66"/>
        <v>7.0063403048344659</v>
      </c>
      <c r="AL42" s="75">
        <f t="shared" si="67"/>
        <v>0.26092205604856655</v>
      </c>
      <c r="AM42" s="75">
        <f t="shared" si="68"/>
        <v>0.57757674082151045</v>
      </c>
      <c r="AN42" s="75">
        <f t="shared" si="69"/>
        <v>2.3030938567197161</v>
      </c>
      <c r="AO42" s="75">
        <f t="shared" si="70"/>
        <v>-0.1981125870839231</v>
      </c>
      <c r="AP42" s="75">
        <f t="shared" si="71"/>
        <v>0.77568932790543343</v>
      </c>
      <c r="AQ42" s="75">
        <f t="shared" si="72"/>
        <v>0.43858968918006025</v>
      </c>
      <c r="AR42" s="88">
        <f t="shared" si="73"/>
        <v>-24.925914223663575</v>
      </c>
      <c r="AS42" s="88">
        <f t="shared" si="74"/>
        <v>-21.536262129866017</v>
      </c>
      <c r="AT42" s="75">
        <f t="shared" si="75"/>
        <v>8.0603970125546542</v>
      </c>
      <c r="AU42" s="75">
        <f t="shared" si="76"/>
        <v>-0.19982864507299022</v>
      </c>
      <c r="AV42" s="75">
        <f t="shared" si="77"/>
        <v>7.1765121594941244</v>
      </c>
      <c r="AW42" s="72">
        <f t="shared" si="78"/>
        <v>1.8760200269870326</v>
      </c>
    </row>
    <row r="43" spans="1:49">
      <c r="A43" s="55"/>
      <c r="B43" s="57">
        <f t="shared" si="79"/>
        <v>40</v>
      </c>
      <c r="C43" s="70">
        <f t="shared" si="80"/>
        <v>1.0592961735714226</v>
      </c>
      <c r="D43" s="71">
        <f t="shared" si="44"/>
        <v>60.693200000000012</v>
      </c>
      <c r="E43" s="72">
        <f t="shared" si="45"/>
        <v>-1.3309162241176926</v>
      </c>
      <c r="F43" s="70">
        <f t="shared" si="46"/>
        <v>1.6726333979588741</v>
      </c>
      <c r="G43" s="73">
        <f t="shared" si="47"/>
        <v>-1.8488270816519048E-6</v>
      </c>
      <c r="H43" s="73">
        <f t="shared" si="48"/>
        <v>1.9224315805921321E-6</v>
      </c>
      <c r="I43" s="70">
        <f t="shared" si="49"/>
        <v>2.0822964800183703</v>
      </c>
      <c r="J43" s="70">
        <f t="shared" si="50"/>
        <v>6.9726819506376394</v>
      </c>
      <c r="K43" s="70">
        <f t="shared" si="51"/>
        <v>0.26574509714637085</v>
      </c>
      <c r="L43" s="70">
        <f t="shared" si="52"/>
        <v>0.58774625527419111</v>
      </c>
      <c r="M43" s="70">
        <f t="shared" si="53"/>
        <v>2.288101301169231</v>
      </c>
      <c r="N43" s="70">
        <f t="shared" si="9"/>
        <v>-0.20580482115086052</v>
      </c>
      <c r="O43" s="70">
        <f t="shared" si="54"/>
        <v>0.79355107642505185</v>
      </c>
      <c r="P43" s="70">
        <f t="shared" si="55"/>
        <v>0.44589725176804307</v>
      </c>
      <c r="Q43" s="73">
        <f t="shared" si="56"/>
        <v>-24.322684672852862</v>
      </c>
      <c r="R43" s="73">
        <f t="shared" si="57"/>
        <v>-21.019329078016952</v>
      </c>
      <c r="S43" s="70">
        <f t="shared" si="58"/>
        <v>8.0603970125546542</v>
      </c>
      <c r="T43" s="70">
        <f t="shared" si="59"/>
        <v>-0.19982864507299022</v>
      </c>
      <c r="U43" s="70">
        <f t="shared" si="60"/>
        <v>7.2271353546567019</v>
      </c>
      <c r="V43" s="72">
        <f t="shared" si="61"/>
        <v>1.8487409750115411</v>
      </c>
      <c r="W43" s="74">
        <f t="shared" si="39"/>
        <v>71.015158130010064</v>
      </c>
      <c r="X43" s="75"/>
      <c r="Y43" s="44">
        <f t="shared" si="40"/>
        <v>0.85349201278279074</v>
      </c>
      <c r="Z43" s="45">
        <f t="shared" si="18"/>
        <v>48.901490180579614</v>
      </c>
      <c r="AA43" s="46">
        <f t="shared" si="41"/>
        <v>48.901490180579614</v>
      </c>
      <c r="AB43" s="47">
        <f t="shared" si="42"/>
        <v>6.6036222878818052E-7</v>
      </c>
      <c r="AC43" s="48">
        <f>(Fx*G43+Fy*H43)/Data!AB43</f>
        <v>114.27653880061773</v>
      </c>
      <c r="AD43" s="118">
        <f t="shared" si="43"/>
        <v>60.693257295779517</v>
      </c>
      <c r="AE43" s="85">
        <f t="shared" si="62"/>
        <v>1.0592971735714225</v>
      </c>
      <c r="AF43" s="72">
        <f t="shared" si="63"/>
        <v>-1.3309180729447743</v>
      </c>
      <c r="AG43" s="75">
        <f t="shared" si="64"/>
        <v>1.6726353203904547</v>
      </c>
      <c r="AH43" s="87" t="s">
        <v>36</v>
      </c>
      <c r="AI43" s="87" t="s">
        <v>36</v>
      </c>
      <c r="AJ43" s="75">
        <f t="shared" si="65"/>
        <v>2.0822954800183706</v>
      </c>
      <c r="AK43" s="75">
        <f t="shared" si="66"/>
        <v>6.9726804536558458</v>
      </c>
      <c r="AL43" s="75">
        <f t="shared" si="67"/>
        <v>0.26574530836612009</v>
      </c>
      <c r="AM43" s="75">
        <f t="shared" si="68"/>
        <v>0.58774670441667065</v>
      </c>
      <c r="AN43" s="75">
        <f t="shared" si="69"/>
        <v>2.2881006408070022</v>
      </c>
      <c r="AO43" s="75">
        <f t="shared" si="70"/>
        <v>-0.20580516078863154</v>
      </c>
      <c r="AP43" s="75">
        <f t="shared" si="71"/>
        <v>0.79355186520530219</v>
      </c>
      <c r="AQ43" s="75">
        <f t="shared" si="72"/>
        <v>0.44589757398545071</v>
      </c>
      <c r="AR43" s="88">
        <f t="shared" si="73"/>
        <v>-24.322658754753235</v>
      </c>
      <c r="AS43" s="88">
        <f t="shared" si="74"/>
        <v>-21.019306989179675</v>
      </c>
      <c r="AT43" s="75">
        <f t="shared" si="75"/>
        <v>8.0603970125546542</v>
      </c>
      <c r="AU43" s="75">
        <f t="shared" si="76"/>
        <v>-0.19982864507299022</v>
      </c>
      <c r="AV43" s="75">
        <f t="shared" si="77"/>
        <v>7.2271375982112822</v>
      </c>
      <c r="AW43" s="72">
        <f t="shared" si="78"/>
        <v>1.8487397754376227</v>
      </c>
    </row>
    <row r="44" spans="1:49">
      <c r="A44" s="55"/>
      <c r="B44" s="57">
        <f t="shared" si="79"/>
        <v>41</v>
      </c>
      <c r="C44" s="70">
        <f t="shared" si="80"/>
        <v>1.081981963188845</v>
      </c>
      <c r="D44" s="71">
        <f t="shared" si="44"/>
        <v>61.993000000000016</v>
      </c>
      <c r="E44" s="72">
        <f t="shared" si="45"/>
        <v>-1.3730982948385959</v>
      </c>
      <c r="F44" s="70">
        <f t="shared" si="46"/>
        <v>1.7160406809760711</v>
      </c>
      <c r="G44" s="73">
        <f t="shared" si="47"/>
        <v>-1.8697951693624759E-6</v>
      </c>
      <c r="H44" s="73">
        <f t="shared" si="48"/>
        <v>1.9042803520719076E-6</v>
      </c>
      <c r="I44" s="70">
        <f t="shared" si="49"/>
        <v>2.0596106904009481</v>
      </c>
      <c r="J44" s="70">
        <f t="shared" si="50"/>
        <v>6.9384242875759998</v>
      </c>
      <c r="K44" s="70">
        <f t="shared" si="51"/>
        <v>0.27050453314299028</v>
      </c>
      <c r="L44" s="70">
        <f t="shared" si="52"/>
        <v>0.59795381389338742</v>
      </c>
      <c r="M44" s="70">
        <f t="shared" si="53"/>
        <v>2.2731343065534158</v>
      </c>
      <c r="N44" s="70">
        <f t="shared" si="9"/>
        <v>-0.21352361615246762</v>
      </c>
      <c r="O44" s="70">
        <f t="shared" si="54"/>
        <v>0.81147743004585415</v>
      </c>
      <c r="P44" s="70">
        <f t="shared" si="55"/>
        <v>0.45320802326088661</v>
      </c>
      <c r="Q44" s="73">
        <f t="shared" si="56"/>
        <v>-23.748750428657566</v>
      </c>
      <c r="R44" s="73">
        <f t="shared" si="57"/>
        <v>-20.532820956107145</v>
      </c>
      <c r="S44" s="70">
        <f t="shared" si="58"/>
        <v>8.0603970125546542</v>
      </c>
      <c r="T44" s="70">
        <f t="shared" si="59"/>
        <v>-0.19982864507299022</v>
      </c>
      <c r="U44" s="70">
        <f t="shared" si="60"/>
        <v>7.2782906720749665</v>
      </c>
      <c r="V44" s="72">
        <f t="shared" si="61"/>
        <v>1.8215944764241003</v>
      </c>
      <c r="W44" s="74">
        <f t="shared" si="39"/>
        <v>72.461138886065584</v>
      </c>
      <c r="X44" s="75"/>
      <c r="Y44" s="44">
        <f t="shared" si="40"/>
        <v>0.86845900614600247</v>
      </c>
      <c r="Z44" s="45">
        <f t="shared" si="18"/>
        <v>49.759035732291963</v>
      </c>
      <c r="AA44" s="46">
        <f t="shared" si="41"/>
        <v>49.759035732291963</v>
      </c>
      <c r="AB44" s="47">
        <f t="shared" si="42"/>
        <v>6.591096247676731E-7</v>
      </c>
      <c r="AC44" s="48">
        <f>(Fx*G44+Fy*H44)/Data!AB44</f>
        <v>112.9267532259783</v>
      </c>
      <c r="AD44" s="118">
        <f t="shared" si="43"/>
        <v>61.993057295779522</v>
      </c>
      <c r="AE44" s="85">
        <f t="shared" si="62"/>
        <v>1.0819829631888449</v>
      </c>
      <c r="AF44" s="72">
        <f t="shared" si="63"/>
        <v>-1.3731001646337653</v>
      </c>
      <c r="AG44" s="75">
        <f t="shared" si="64"/>
        <v>1.7160425852564232</v>
      </c>
      <c r="AH44" s="87" t="s">
        <v>36</v>
      </c>
      <c r="AI44" s="87" t="s">
        <v>36</v>
      </c>
      <c r="AJ44" s="75">
        <f t="shared" si="65"/>
        <v>2.059609690400948</v>
      </c>
      <c r="AK44" s="75">
        <f t="shared" si="66"/>
        <v>6.9384227644347822</v>
      </c>
      <c r="AL44" s="75">
        <f t="shared" si="67"/>
        <v>0.27050474150406023</v>
      </c>
      <c r="AM44" s="75">
        <f t="shared" si="68"/>
        <v>0.59795426464194223</v>
      </c>
      <c r="AN44" s="75">
        <f t="shared" si="69"/>
        <v>2.2731336474437907</v>
      </c>
      <c r="AO44" s="75">
        <f t="shared" si="70"/>
        <v>-0.21352395704284244</v>
      </c>
      <c r="AP44" s="75">
        <f t="shared" si="71"/>
        <v>0.81147822168478412</v>
      </c>
      <c r="AQ44" s="75">
        <f t="shared" si="72"/>
        <v>0.45320834554923883</v>
      </c>
      <c r="AR44" s="88">
        <f t="shared" si="73"/>
        <v>-23.748725722939334</v>
      </c>
      <c r="AS44" s="88">
        <f t="shared" si="74"/>
        <v>-20.532800128402094</v>
      </c>
      <c r="AT44" s="75">
        <f t="shared" si="75"/>
        <v>8.0603970125546542</v>
      </c>
      <c r="AU44" s="75">
        <f t="shared" si="76"/>
        <v>-0.19982864507299022</v>
      </c>
      <c r="AV44" s="75">
        <f t="shared" si="77"/>
        <v>7.2782929381384305</v>
      </c>
      <c r="AW44" s="72">
        <f t="shared" si="78"/>
        <v>1.8215932827326995</v>
      </c>
    </row>
    <row r="45" spans="1:49">
      <c r="A45" s="55"/>
      <c r="B45" s="57">
        <f t="shared" si="79"/>
        <v>42</v>
      </c>
      <c r="C45" s="70">
        <f t="shared" si="80"/>
        <v>1.1046677528062674</v>
      </c>
      <c r="D45" s="71">
        <f t="shared" si="44"/>
        <v>63.292800000000021</v>
      </c>
      <c r="E45" s="72">
        <f t="shared" si="45"/>
        <v>-1.415743149763971</v>
      </c>
      <c r="F45" s="70">
        <f t="shared" si="46"/>
        <v>1.759028748989935</v>
      </c>
      <c r="G45" s="73">
        <f t="shared" si="47"/>
        <v>-1.8896241780197442E-6</v>
      </c>
      <c r="H45" s="73">
        <f t="shared" si="48"/>
        <v>1.8854844736626575E-6</v>
      </c>
      <c r="I45" s="70">
        <f t="shared" si="49"/>
        <v>2.0369249007835259</v>
      </c>
      <c r="J45" s="70">
        <f t="shared" si="50"/>
        <v>6.9035776486322886</v>
      </c>
      <c r="K45" s="70">
        <f t="shared" si="51"/>
        <v>0.27519806823706072</v>
      </c>
      <c r="L45" s="70">
        <f t="shared" si="52"/>
        <v>0.60819668722114917</v>
      </c>
      <c r="M45" s="70">
        <f t="shared" si="53"/>
        <v>2.2581978981315829</v>
      </c>
      <c r="N45" s="70">
        <f t="shared" si="9"/>
        <v>-0.22127299734805717</v>
      </c>
      <c r="O45" s="70">
        <f t="shared" si="54"/>
        <v>0.82946968456920611</v>
      </c>
      <c r="P45" s="70">
        <f t="shared" si="55"/>
        <v>0.46051915482383188</v>
      </c>
      <c r="Q45" s="73">
        <f t="shared" si="56"/>
        <v>-23.200684294778423</v>
      </c>
      <c r="R45" s="73">
        <f t="shared" si="57"/>
        <v>-20.073266820416524</v>
      </c>
      <c r="S45" s="70">
        <f t="shared" si="58"/>
        <v>8.0603970125546542</v>
      </c>
      <c r="T45" s="70">
        <f t="shared" si="59"/>
        <v>-0.19982864507299022</v>
      </c>
      <c r="U45" s="70">
        <f t="shared" si="60"/>
        <v>7.3299374290089254</v>
      </c>
      <c r="V45" s="72">
        <f t="shared" si="61"/>
        <v>1.7945810059047167</v>
      </c>
      <c r="W45" s="74">
        <f t="shared" si="39"/>
        <v>73.910916116200468</v>
      </c>
      <c r="X45" s="75"/>
      <c r="Y45" s="44">
        <f t="shared" si="40"/>
        <v>0.88339541312440339</v>
      </c>
      <c r="Z45" s="45">
        <f t="shared" si="18"/>
        <v>50.614828813244088</v>
      </c>
      <c r="AA45" s="46">
        <f t="shared" si="41"/>
        <v>50.614828813244088</v>
      </c>
      <c r="AB45" s="47">
        <f t="shared" si="42"/>
        <v>6.5766619350426936E-7</v>
      </c>
      <c r="AC45" s="48">
        <f>(Fx*G45+Fy*H45)/Data!AB45</f>
        <v>111.57230283128749</v>
      </c>
      <c r="AD45" s="118">
        <f t="shared" si="43"/>
        <v>63.292857295779534</v>
      </c>
      <c r="AE45" s="85">
        <f t="shared" si="62"/>
        <v>1.1046687528062673</v>
      </c>
      <c r="AF45" s="72">
        <f t="shared" si="63"/>
        <v>-1.415745039388149</v>
      </c>
      <c r="AG45" s="75">
        <f t="shared" si="64"/>
        <v>1.7590306344744087</v>
      </c>
      <c r="AH45" s="87" t="s">
        <v>36</v>
      </c>
      <c r="AI45" s="87" t="s">
        <v>36</v>
      </c>
      <c r="AJ45" s="75">
        <f t="shared" si="65"/>
        <v>2.0369239007835258</v>
      </c>
      <c r="AK45" s="75">
        <f t="shared" si="66"/>
        <v>6.9035760997276476</v>
      </c>
      <c r="AL45" s="75">
        <f t="shared" si="67"/>
        <v>0.27519827364653393</v>
      </c>
      <c r="AM45" s="75">
        <f t="shared" si="68"/>
        <v>0.60819713947786946</v>
      </c>
      <c r="AN45" s="75">
        <f t="shared" si="69"/>
        <v>2.2581972404653898</v>
      </c>
      <c r="AO45" s="75">
        <f t="shared" si="70"/>
        <v>-0.22127333968186402</v>
      </c>
      <c r="AP45" s="75">
        <f t="shared" si="71"/>
        <v>0.82947047915973293</v>
      </c>
      <c r="AQ45" s="75">
        <f t="shared" si="72"/>
        <v>0.46051947707356389</v>
      </c>
      <c r="AR45" s="88">
        <f t="shared" si="73"/>
        <v>-23.200660660892982</v>
      </c>
      <c r="AS45" s="88">
        <f t="shared" si="74"/>
        <v>-20.073247111521269</v>
      </c>
      <c r="AT45" s="75">
        <f t="shared" si="75"/>
        <v>8.0603970125546542</v>
      </c>
      <c r="AU45" s="75">
        <f t="shared" si="76"/>
        <v>-0.19982864507299022</v>
      </c>
      <c r="AV45" s="75">
        <f t="shared" si="77"/>
        <v>7.329939715891018</v>
      </c>
      <c r="AW45" s="72">
        <f t="shared" si="78"/>
        <v>1.7945798180562935</v>
      </c>
    </row>
    <row r="46" spans="1:49">
      <c r="A46" s="55"/>
      <c r="B46" s="57">
        <f t="shared" si="79"/>
        <v>43</v>
      </c>
      <c r="C46" s="70">
        <f t="shared" si="80"/>
        <v>1.1273535424236898</v>
      </c>
      <c r="D46" s="71">
        <f t="shared" si="44"/>
        <v>64.592600000000033</v>
      </c>
      <c r="E46" s="72">
        <f t="shared" si="45"/>
        <v>-1.4588247889742814</v>
      </c>
      <c r="F46" s="70">
        <f t="shared" si="46"/>
        <v>1.8015837394278966</v>
      </c>
      <c r="G46" s="73">
        <f t="shared" si="47"/>
        <v>-1.9083000761810354E-6</v>
      </c>
      <c r="H46" s="73">
        <f t="shared" si="48"/>
        <v>1.8661107819006872E-6</v>
      </c>
      <c r="I46" s="70">
        <f t="shared" si="49"/>
        <v>2.0142391111661033</v>
      </c>
      <c r="J46" s="70">
        <f t="shared" si="50"/>
        <v>6.8681511399019124</v>
      </c>
      <c r="K46" s="70">
        <f t="shared" si="51"/>
        <v>0.27982356778262996</v>
      </c>
      <c r="L46" s="70">
        <f t="shared" si="52"/>
        <v>0.61847271139040905</v>
      </c>
      <c r="M46" s="70">
        <f t="shared" si="53"/>
        <v>2.243296374416754</v>
      </c>
      <c r="N46" s="70">
        <f t="shared" si="9"/>
        <v>-0.22905726325065068</v>
      </c>
      <c r="O46" s="70">
        <f t="shared" si="54"/>
        <v>0.84752997464105917</v>
      </c>
      <c r="P46" s="70">
        <f t="shared" si="55"/>
        <v>0.46782819937623787</v>
      </c>
      <c r="Q46" s="73">
        <f t="shared" si="56"/>
        <v>-22.675532613180252</v>
      </c>
      <c r="R46" s="73">
        <f t="shared" si="57"/>
        <v>-19.637672513912889</v>
      </c>
      <c r="S46" s="70">
        <f t="shared" si="58"/>
        <v>8.0603970125546542</v>
      </c>
      <c r="T46" s="70">
        <f t="shared" si="59"/>
        <v>-0.19982864507299022</v>
      </c>
      <c r="U46" s="70">
        <f t="shared" si="60"/>
        <v>7.3820374104581497</v>
      </c>
      <c r="V46" s="72">
        <f t="shared" si="61"/>
        <v>1.7676995086252392</v>
      </c>
      <c r="W46" s="74">
        <f t="shared" si="39"/>
        <v>75.364471919225622</v>
      </c>
      <c r="X46" s="75"/>
      <c r="Y46" s="44">
        <f t="shared" si="40"/>
        <v>0.89829693520757858</v>
      </c>
      <c r="Z46" s="45">
        <f t="shared" si="18"/>
        <v>51.468623136931022</v>
      </c>
      <c r="AA46" s="46">
        <f t="shared" si="41"/>
        <v>51.468623136931022</v>
      </c>
      <c r="AB46" s="47">
        <f t="shared" si="42"/>
        <v>6.5603453958118507E-7</v>
      </c>
      <c r="AC46" s="48">
        <f>(Fx*G46+Fy*H46)/Data!AB46</f>
        <v>110.21653151292539</v>
      </c>
      <c r="AD46" s="118">
        <f t="shared" si="43"/>
        <v>64.592657295779532</v>
      </c>
      <c r="AE46" s="85">
        <f t="shared" si="62"/>
        <v>1.1273545424236897</v>
      </c>
      <c r="AF46" s="72">
        <f t="shared" si="63"/>
        <v>-1.4588266972743575</v>
      </c>
      <c r="AG46" s="75">
        <f t="shared" si="64"/>
        <v>1.8015856055386785</v>
      </c>
      <c r="AH46" s="87" t="s">
        <v>36</v>
      </c>
      <c r="AI46" s="87" t="s">
        <v>36</v>
      </c>
      <c r="AJ46" s="75">
        <f t="shared" si="65"/>
        <v>2.0142381111661036</v>
      </c>
      <c r="AK46" s="75">
        <f t="shared" si="66"/>
        <v>6.8681495656406844</v>
      </c>
      <c r="AL46" s="75">
        <f t="shared" si="67"/>
        <v>0.27982377014521864</v>
      </c>
      <c r="AM46" s="75">
        <f t="shared" si="68"/>
        <v>0.61847316506235994</v>
      </c>
      <c r="AN46" s="75">
        <f t="shared" si="69"/>
        <v>2.2432957183822144</v>
      </c>
      <c r="AO46" s="75">
        <f t="shared" si="70"/>
        <v>-0.22905760721611101</v>
      </c>
      <c r="AP46" s="75">
        <f t="shared" si="71"/>
        <v>0.84753077227847118</v>
      </c>
      <c r="AQ46" s="75">
        <f t="shared" si="72"/>
        <v>0.46782852148111864</v>
      </c>
      <c r="AR46" s="88">
        <f t="shared" si="73"/>
        <v>-22.675509930665214</v>
      </c>
      <c r="AS46" s="88">
        <f t="shared" si="74"/>
        <v>-19.637653801568735</v>
      </c>
      <c r="AT46" s="75">
        <f t="shared" si="75"/>
        <v>8.0603970125546542</v>
      </c>
      <c r="AU46" s="75">
        <f t="shared" si="76"/>
        <v>-0.19982864507299022</v>
      </c>
      <c r="AV46" s="75">
        <f t="shared" si="77"/>
        <v>7.3820397164802802</v>
      </c>
      <c r="AW46" s="72">
        <f t="shared" si="78"/>
        <v>1.7676983265665187</v>
      </c>
    </row>
    <row r="47" spans="1:49">
      <c r="A47" s="55"/>
      <c r="B47" s="57">
        <f t="shared" si="79"/>
        <v>44</v>
      </c>
      <c r="C47" s="70">
        <f t="shared" si="80"/>
        <v>1.1500393320411122</v>
      </c>
      <c r="D47" s="71">
        <f t="shared" si="44"/>
        <v>65.892400000000038</v>
      </c>
      <c r="E47" s="72">
        <f t="shared" si="45"/>
        <v>-1.5023168934542239</v>
      </c>
      <c r="F47" s="70">
        <f t="shared" si="46"/>
        <v>1.843693284068769</v>
      </c>
      <c r="G47" s="73">
        <f t="shared" si="47"/>
        <v>-1.9258087649021149E-6</v>
      </c>
      <c r="H47" s="73">
        <f t="shared" si="48"/>
        <v>1.8462242226124914E-6</v>
      </c>
      <c r="I47" s="70">
        <f t="shared" si="49"/>
        <v>1.9915533215486809</v>
      </c>
      <c r="J47" s="70">
        <f t="shared" si="50"/>
        <v>6.8321541156799919</v>
      </c>
      <c r="K47" s="70">
        <f t="shared" si="51"/>
        <v>0.28437884241466183</v>
      </c>
      <c r="L47" s="70">
        <f t="shared" si="52"/>
        <v>0.62877983038587137</v>
      </c>
      <c r="M47" s="70">
        <f t="shared" si="53"/>
        <v>2.2284339807892599</v>
      </c>
      <c r="N47" s="70">
        <f t="shared" si="9"/>
        <v>-0.23688065924057899</v>
      </c>
      <c r="O47" s="70">
        <f t="shared" si="54"/>
        <v>0.86566048962645059</v>
      </c>
      <c r="P47" s="70">
        <f t="shared" si="55"/>
        <v>0.47513278151964378</v>
      </c>
      <c r="Q47" s="73">
        <f t="shared" si="56"/>
        <v>-22.170758408737587</v>
      </c>
      <c r="R47" s="73">
        <f t="shared" si="57"/>
        <v>-19.223460072477703</v>
      </c>
      <c r="S47" s="70">
        <f t="shared" si="58"/>
        <v>8.0603970125546542</v>
      </c>
      <c r="T47" s="70">
        <f t="shared" si="59"/>
        <v>-0.19982864507299022</v>
      </c>
      <c r="U47" s="70">
        <f t="shared" si="60"/>
        <v>7.4345526805219686</v>
      </c>
      <c r="V47" s="72">
        <f t="shared" si="61"/>
        <v>1.7409486301866628</v>
      </c>
      <c r="W47" s="74">
        <f t="shared" si="39"/>
        <v>76.821795636211021</v>
      </c>
      <c r="X47" s="75"/>
      <c r="Y47" s="44">
        <f t="shared" si="40"/>
        <v>0.9131593270172782</v>
      </c>
      <c r="Z47" s="45">
        <f t="shared" si="18"/>
        <v>52.320175461096603</v>
      </c>
      <c r="AA47" s="46">
        <f t="shared" si="41"/>
        <v>52.320175461096603</v>
      </c>
      <c r="AB47" s="47">
        <f t="shared" si="42"/>
        <v>6.5421674499965832E-7</v>
      </c>
      <c r="AC47" s="48">
        <f>(Fx*G47+Fy*H47)/Data!AB47</f>
        <v>108.86278508028667</v>
      </c>
      <c r="AD47" s="118">
        <f t="shared" si="43"/>
        <v>65.892457295779536</v>
      </c>
      <c r="AE47" s="85">
        <f t="shared" si="62"/>
        <v>1.1500403320411121</v>
      </c>
      <c r="AF47" s="72">
        <f t="shared" si="63"/>
        <v>-1.5023188192629888</v>
      </c>
      <c r="AG47" s="75">
        <f t="shared" si="64"/>
        <v>1.8436951302929916</v>
      </c>
      <c r="AH47" s="87" t="s">
        <v>36</v>
      </c>
      <c r="AI47" s="87" t="s">
        <v>36</v>
      </c>
      <c r="AJ47" s="75">
        <f t="shared" si="65"/>
        <v>1.991552321548681</v>
      </c>
      <c r="AK47" s="75">
        <f t="shared" si="66"/>
        <v>6.8321525164800603</v>
      </c>
      <c r="AL47" s="75">
        <f t="shared" si="67"/>
        <v>0.28437904163262107</v>
      </c>
      <c r="AM47" s="75">
        <f t="shared" si="68"/>
        <v>0.62878028538465713</v>
      </c>
      <c r="AN47" s="75">
        <f t="shared" si="69"/>
        <v>2.2284333265725147</v>
      </c>
      <c r="AO47" s="75">
        <f t="shared" si="70"/>
        <v>-0.23688100502383369</v>
      </c>
      <c r="AP47" s="75">
        <f t="shared" si="71"/>
        <v>0.86566129040848994</v>
      </c>
      <c r="AQ47" s="75">
        <f t="shared" si="72"/>
        <v>0.47513310337643277</v>
      </c>
      <c r="AR47" s="88">
        <f t="shared" si="73"/>
        <v>-22.170736573898751</v>
      </c>
      <c r="AS47" s="88">
        <f t="shared" si="74"/>
        <v>-19.223442251173427</v>
      </c>
      <c r="AT47" s="75">
        <f t="shared" si="75"/>
        <v>8.0603970125546542</v>
      </c>
      <c r="AU47" s="75">
        <f t="shared" si="76"/>
        <v>-0.19982864507299022</v>
      </c>
      <c r="AV47" s="75">
        <f t="shared" si="77"/>
        <v>7.4345550040184589</v>
      </c>
      <c r="AW47" s="72">
        <f t="shared" si="78"/>
        <v>1.7409474538516825</v>
      </c>
    </row>
    <row r="48" spans="1:49">
      <c r="A48" s="55"/>
      <c r="B48" s="57">
        <f t="shared" si="79"/>
        <v>45</v>
      </c>
      <c r="C48" s="70">
        <f t="shared" si="80"/>
        <v>1.1727251216585346</v>
      </c>
      <c r="D48" s="71">
        <f t="shared" si="44"/>
        <v>67.192200000000042</v>
      </c>
      <c r="E48" s="72">
        <f t="shared" si="45"/>
        <v>-1.5461928235525386</v>
      </c>
      <c r="F48" s="70">
        <f t="shared" si="46"/>
        <v>1.8853464688781005</v>
      </c>
      <c r="G48" s="73">
        <f t="shared" si="47"/>
        <v>-1.9421360750726535E-6</v>
      </c>
      <c r="H48" s="73">
        <f t="shared" si="48"/>
        <v>1.8258880727373139E-6</v>
      </c>
      <c r="I48" s="70">
        <f t="shared" si="49"/>
        <v>1.9688675319312585</v>
      </c>
      <c r="J48" s="70">
        <f t="shared" si="50"/>
        <v>6.7955961833399625</v>
      </c>
      <c r="K48" s="70">
        <f t="shared" si="51"/>
        <v>0.28886164611720133</v>
      </c>
      <c r="L48" s="70">
        <f t="shared" si="52"/>
        <v>0.63911608644156803</v>
      </c>
      <c r="M48" s="70">
        <f t="shared" si="53"/>
        <v>2.2136149210310236</v>
      </c>
      <c r="N48" s="70">
        <f t="shared" si="9"/>
        <v>-0.24474738909976512</v>
      </c>
      <c r="O48" s="70">
        <f t="shared" si="54"/>
        <v>0.88386347554133338</v>
      </c>
      <c r="P48" s="70">
        <f t="shared" si="55"/>
        <v>0.48243059007609879</v>
      </c>
      <c r="Q48" s="73">
        <f t="shared" si="56"/>
        <v>-21.684173632691984</v>
      </c>
      <c r="R48" s="73">
        <f t="shared" si="57"/>
        <v>-18.828400008216974</v>
      </c>
      <c r="S48" s="70">
        <f t="shared" si="58"/>
        <v>8.0603970125546542</v>
      </c>
      <c r="T48" s="70">
        <f t="shared" si="59"/>
        <v>-0.19982864507299022</v>
      </c>
      <c r="U48" s="70">
        <f t="shared" si="60"/>
        <v>7.4874456087383656</v>
      </c>
      <c r="V48" s="72">
        <f t="shared" si="61"/>
        <v>1.7143267395878636</v>
      </c>
      <c r="W48" s="74">
        <f t="shared" si="39"/>
        <v>78.28288353364924</v>
      </c>
      <c r="X48" s="75"/>
      <c r="Y48" s="44">
        <f t="shared" si="40"/>
        <v>0.92797838477317141</v>
      </c>
      <c r="Z48" s="45">
        <f t="shared" si="18"/>
        <v>53.169244926869894</v>
      </c>
      <c r="AA48" s="46">
        <f t="shared" si="41"/>
        <v>53.169244926869894</v>
      </c>
      <c r="AB48" s="47">
        <f t="shared" si="42"/>
        <v>6.5221440204155101E-7</v>
      </c>
      <c r="AC48" s="48">
        <f>(Fx*G48+Fy*H48)/Data!AB48</f>
        <v>107.51442614651576</v>
      </c>
      <c r="AD48" s="118">
        <f t="shared" si="43"/>
        <v>67.192257295779555</v>
      </c>
      <c r="AE48" s="85">
        <f t="shared" si="62"/>
        <v>1.1727261216585345</v>
      </c>
      <c r="AF48" s="72">
        <f t="shared" si="63"/>
        <v>-1.5461947656886137</v>
      </c>
      <c r="AG48" s="75">
        <f t="shared" si="64"/>
        <v>1.8853482947661733</v>
      </c>
      <c r="AH48" s="87" t="s">
        <v>36</v>
      </c>
      <c r="AI48" s="87" t="s">
        <v>36</v>
      </c>
      <c r="AJ48" s="75">
        <f t="shared" si="65"/>
        <v>1.9688665319312586</v>
      </c>
      <c r="AK48" s="75">
        <f t="shared" si="66"/>
        <v>6.7955945596304765</v>
      </c>
      <c r="AL48" s="75">
        <f t="shared" si="67"/>
        <v>0.28886184209025045</v>
      </c>
      <c r="AM48" s="75">
        <f t="shared" si="68"/>
        <v>0.63911654268292095</v>
      </c>
      <c r="AN48" s="75">
        <f t="shared" si="69"/>
        <v>2.2136142688166216</v>
      </c>
      <c r="AO48" s="75">
        <f t="shared" si="70"/>
        <v>-0.244747736885363</v>
      </c>
      <c r="AP48" s="75">
        <f t="shared" si="71"/>
        <v>0.88386427956828373</v>
      </c>
      <c r="AQ48" s="75">
        <f t="shared" si="72"/>
        <v>0.48243091158423024</v>
      </c>
      <c r="AR48" s="88">
        <f t="shared" si="73"/>
        <v>-21.684152555921884</v>
      </c>
      <c r="AS48" s="88">
        <f t="shared" si="74"/>
        <v>-18.828382986509109</v>
      </c>
      <c r="AT48" s="75">
        <f t="shared" si="75"/>
        <v>8.0603970125546542</v>
      </c>
      <c r="AU48" s="75">
        <f t="shared" si="76"/>
        <v>-0.19982864507299022</v>
      </c>
      <c r="AV48" s="75">
        <f t="shared" si="77"/>
        <v>7.4874479480575209</v>
      </c>
      <c r="AW48" s="72">
        <f t="shared" si="78"/>
        <v>1.7143255688989534</v>
      </c>
    </row>
    <row r="49" spans="1:49">
      <c r="A49" s="55"/>
      <c r="B49" s="57">
        <f t="shared" si="79"/>
        <v>46</v>
      </c>
      <c r="C49" s="70">
        <f t="shared" si="80"/>
        <v>1.195410911275957</v>
      </c>
      <c r="D49" s="71">
        <f t="shared" si="44"/>
        <v>68.492000000000047</v>
      </c>
      <c r="E49" s="72">
        <f t="shared" si="45"/>
        <v>-1.5904256173531275</v>
      </c>
      <c r="F49" s="70">
        <f t="shared" si="46"/>
        <v>1.9265337980857977</v>
      </c>
      <c r="G49" s="73">
        <f t="shared" si="47"/>
        <v>-1.9572677620871559E-6</v>
      </c>
      <c r="H49" s="73">
        <f t="shared" si="48"/>
        <v>1.8051641339500435E-6</v>
      </c>
      <c r="I49" s="70">
        <f t="shared" si="49"/>
        <v>1.9461817423138361</v>
      </c>
      <c r="J49" s="70">
        <f t="shared" si="50"/>
        <v>6.7584872084506058</v>
      </c>
      <c r="K49" s="70">
        <f t="shared" si="51"/>
        <v>0.29326967424684391</v>
      </c>
      <c r="L49" s="70">
        <f t="shared" si="52"/>
        <v>0.6494796110755241</v>
      </c>
      <c r="M49" s="70">
        <f t="shared" si="53"/>
        <v>2.1988433682674255</v>
      </c>
      <c r="N49" s="70">
        <f t="shared" si="9"/>
        <v>-0.25266162595358943</v>
      </c>
      <c r="O49" s="70">
        <f t="shared" si="54"/>
        <v>0.90214123702911209</v>
      </c>
      <c r="P49" s="70">
        <f t="shared" si="55"/>
        <v>0.48971937115608011</v>
      </c>
      <c r="Q49" s="73">
        <f t="shared" si="56"/>
        <v>-21.213884190493197</v>
      </c>
      <c r="R49" s="73">
        <f t="shared" si="57"/>
        <v>-18.450556376814276</v>
      </c>
      <c r="S49" s="70">
        <f t="shared" si="58"/>
        <v>8.0603970125546542</v>
      </c>
      <c r="T49" s="70">
        <f t="shared" si="59"/>
        <v>-0.19982864507299022</v>
      </c>
      <c r="U49" s="70">
        <f t="shared" si="60"/>
        <v>7.5406788923362607</v>
      </c>
      <c r="V49" s="72">
        <f t="shared" si="61"/>
        <v>1.6878319507441024</v>
      </c>
      <c r="W49" s="74">
        <f t="shared" si="39"/>
        <v>79.747738519523438</v>
      </c>
      <c r="X49" s="75"/>
      <c r="Y49" s="44">
        <f t="shared" si="40"/>
        <v>0.94274993535099427</v>
      </c>
      <c r="Z49" s="45">
        <f t="shared" si="18"/>
        <v>54.015592431843181</v>
      </c>
      <c r="AA49" s="46">
        <f t="shared" si="41"/>
        <v>54.015592431843181</v>
      </c>
      <c r="AB49" s="47">
        <f t="shared" si="42"/>
        <v>6.500286262589583E-7</v>
      </c>
      <c r="AC49" s="48">
        <f>(Fx*G49+Fy*H49)/Data!AB49</f>
        <v>106.17485080069287</v>
      </c>
      <c r="AD49" s="118">
        <f t="shared" si="43"/>
        <v>68.49205729577956</v>
      </c>
      <c r="AE49" s="85">
        <f t="shared" si="62"/>
        <v>1.1954119112759569</v>
      </c>
      <c r="AF49" s="72">
        <f t="shared" si="63"/>
        <v>-1.5904275746208896</v>
      </c>
      <c r="AG49" s="75">
        <f t="shared" si="64"/>
        <v>1.9265356032499317</v>
      </c>
      <c r="AH49" s="87" t="s">
        <v>36</v>
      </c>
      <c r="AI49" s="87" t="s">
        <v>36</v>
      </c>
      <c r="AJ49" s="75">
        <f t="shared" si="65"/>
        <v>1.9461807423138362</v>
      </c>
      <c r="AK49" s="75">
        <f t="shared" si="66"/>
        <v>6.758485560672213</v>
      </c>
      <c r="AL49" s="75">
        <f t="shared" si="67"/>
        <v>0.29326986687207102</v>
      </c>
      <c r="AM49" s="75">
        <f t="shared" si="68"/>
        <v>0.64948006847892326</v>
      </c>
      <c r="AN49" s="75">
        <f t="shared" si="69"/>
        <v>2.1988427182387991</v>
      </c>
      <c r="AO49" s="75">
        <f t="shared" si="70"/>
        <v>-0.25266197592496287</v>
      </c>
      <c r="AP49" s="75">
        <f t="shared" si="71"/>
        <v>0.9021420444038859</v>
      </c>
      <c r="AQ49" s="75">
        <f t="shared" si="72"/>
        <v>0.489719692217367</v>
      </c>
      <c r="AR49" s="88">
        <f t="shared" si="73"/>
        <v>-21.213863794086389</v>
      </c>
      <c r="AS49" s="88">
        <f t="shared" si="74"/>
        <v>-18.450540075144158</v>
      </c>
      <c r="AT49" s="75">
        <f t="shared" si="75"/>
        <v>8.0603970125546542</v>
      </c>
      <c r="AU49" s="75">
        <f t="shared" si="76"/>
        <v>-0.19982864507299022</v>
      </c>
      <c r="AV49" s="75">
        <f t="shared" si="77"/>
        <v>7.5406812458412675</v>
      </c>
      <c r="AW49" s="72">
        <f t="shared" si="78"/>
        <v>1.6878307856127999</v>
      </c>
    </row>
    <row r="50" spans="1:49">
      <c r="A50" s="55"/>
      <c r="B50" s="57">
        <f t="shared" si="79"/>
        <v>47</v>
      </c>
      <c r="C50" s="70">
        <f t="shared" si="80"/>
        <v>1.2180967008933794</v>
      </c>
      <c r="D50" s="71">
        <f t="shared" si="44"/>
        <v>69.791800000000052</v>
      </c>
      <c r="E50" s="72">
        <f t="shared" si="45"/>
        <v>-1.6349879889210142</v>
      </c>
      <c r="F50" s="70">
        <f t="shared" si="46"/>
        <v>1.9672471621353755</v>
      </c>
      <c r="G50" s="73">
        <f t="shared" si="47"/>
        <v>-1.9711895058449613E-6</v>
      </c>
      <c r="H50" s="73">
        <f t="shared" si="48"/>
        <v>1.7841128272522155E-6</v>
      </c>
      <c r="I50" s="70">
        <f t="shared" si="49"/>
        <v>1.9234959526964137</v>
      </c>
      <c r="J50" s="70">
        <f t="shared" si="50"/>
        <v>6.720837320141702</v>
      </c>
      <c r="K50" s="70">
        <f t="shared" si="51"/>
        <v>0.29760056151217817</v>
      </c>
      <c r="L50" s="70">
        <f t="shared" si="52"/>
        <v>0.65986861669963903</v>
      </c>
      <c r="M50" s="70">
        <f t="shared" si="53"/>
        <v>2.1841234753779757</v>
      </c>
      <c r="N50" s="70">
        <f t="shared" si="9"/>
        <v>-0.26062752268156197</v>
      </c>
      <c r="O50" s="70">
        <f t="shared" si="54"/>
        <v>0.92049613938120189</v>
      </c>
      <c r="P50" s="70">
        <f t="shared" si="55"/>
        <v>0.49699692171242593</v>
      </c>
      <c r="Q50" s="73">
        <f t="shared" si="56"/>
        <v>-20.758245024769987</v>
      </c>
      <c r="R50" s="73">
        <f t="shared" si="57"/>
        <v>-18.088241899805013</v>
      </c>
      <c r="S50" s="70">
        <f t="shared" si="58"/>
        <v>8.0603970125546542</v>
      </c>
      <c r="T50" s="70">
        <f t="shared" si="59"/>
        <v>-0.19982864507299022</v>
      </c>
      <c r="U50" s="70">
        <f t="shared" si="60"/>
        <v>7.5942155746690023</v>
      </c>
      <c r="V50" s="72">
        <f t="shared" si="61"/>
        <v>1.6614621425967329</v>
      </c>
      <c r="W50" s="74">
        <f t="shared" si="39"/>
        <v>81.216369889744627</v>
      </c>
      <c r="X50" s="75"/>
      <c r="Y50" s="44">
        <f t="shared" si="40"/>
        <v>0.95746982587190399</v>
      </c>
      <c r="Z50" s="45">
        <f t="shared" si="18"/>
        <v>54.858980033585937</v>
      </c>
      <c r="AA50" s="46">
        <f t="shared" si="41"/>
        <v>54.858980033585937</v>
      </c>
      <c r="AB50" s="47">
        <f t="shared" si="42"/>
        <v>6.4766008678329712E-7</v>
      </c>
      <c r="AC50" s="48">
        <f>(Fx*G50+Fy*H50)/Data!AB50</f>
        <v>104.84749569803455</v>
      </c>
      <c r="AD50" s="118">
        <f t="shared" si="43"/>
        <v>69.791857295779565</v>
      </c>
      <c r="AE50" s="85">
        <f t="shared" si="62"/>
        <v>1.2180977008933793</v>
      </c>
      <c r="AF50" s="72">
        <f t="shared" si="63"/>
        <v>-1.63498996011052</v>
      </c>
      <c r="AG50" s="75">
        <f t="shared" si="64"/>
        <v>1.9672489462482028</v>
      </c>
      <c r="AH50" s="87" t="s">
        <v>36</v>
      </c>
      <c r="AI50" s="87" t="s">
        <v>36</v>
      </c>
      <c r="AJ50" s="75">
        <f t="shared" si="65"/>
        <v>1.9234949526964138</v>
      </c>
      <c r="AK50" s="75">
        <f t="shared" si="66"/>
        <v>6.7208356487467906</v>
      </c>
      <c r="AL50" s="75">
        <f t="shared" si="67"/>
        <v>0.29760075068395175</v>
      </c>
      <c r="AM50" s="75">
        <f t="shared" si="68"/>
        <v>0.65986907518795224</v>
      </c>
      <c r="AN50" s="75">
        <f t="shared" si="69"/>
        <v>2.1841228277178892</v>
      </c>
      <c r="AO50" s="75">
        <f t="shared" si="70"/>
        <v>-0.26062787502147544</v>
      </c>
      <c r="AP50" s="75">
        <f t="shared" si="71"/>
        <v>0.92049695020942712</v>
      </c>
      <c r="AQ50" s="75">
        <f t="shared" si="72"/>
        <v>0.49699724223078845</v>
      </c>
      <c r="AR50" s="88">
        <f t="shared" si="73"/>
        <v>-20.758225241132156</v>
      </c>
      <c r="AS50" s="88">
        <f t="shared" si="74"/>
        <v>-18.088226248709582</v>
      </c>
      <c r="AT50" s="75">
        <f t="shared" si="75"/>
        <v>8.0603970125546542</v>
      </c>
      <c r="AU50" s="75">
        <f t="shared" si="76"/>
        <v>-0.19982864507299022</v>
      </c>
      <c r="AV50" s="75">
        <f t="shared" si="77"/>
        <v>7.594217940738651</v>
      </c>
      <c r="AW50" s="72">
        <f t="shared" si="78"/>
        <v>1.6614609829246436</v>
      </c>
    </row>
    <row r="51" spans="1:49">
      <c r="A51" s="55"/>
      <c r="B51" s="57">
        <f t="shared" si="79"/>
        <v>48</v>
      </c>
      <c r="C51" s="70">
        <f t="shared" si="80"/>
        <v>1.2407824905108018</v>
      </c>
      <c r="D51" s="71">
        <f t="shared" si="44"/>
        <v>71.091600000000057</v>
      </c>
      <c r="E51" s="72">
        <f t="shared" si="45"/>
        <v>-1.6798523263828855</v>
      </c>
      <c r="F51" s="70">
        <f t="shared" si="46"/>
        <v>2.0074798091609698</v>
      </c>
      <c r="G51" s="73">
        <f t="shared" si="47"/>
        <v>-1.9838868894339612E-6</v>
      </c>
      <c r="H51" s="73">
        <f t="shared" si="48"/>
        <v>1.7627934498776199E-6</v>
      </c>
      <c r="I51" s="70">
        <f t="shared" si="49"/>
        <v>1.9008101630789913</v>
      </c>
      <c r="J51" s="70">
        <f t="shared" si="50"/>
        <v>6.682656916728785</v>
      </c>
      <c r="K51" s="70">
        <f t="shared" si="51"/>
        <v>0.30185187991023388</v>
      </c>
      <c r="L51" s="70">
        <f t="shared" si="52"/>
        <v>0.67028138874718812</v>
      </c>
      <c r="M51" s="70">
        <f t="shared" si="53"/>
        <v>2.1694593849323711</v>
      </c>
      <c r="N51" s="70">
        <f t="shared" si="9"/>
        <v>-0.2686492218533798</v>
      </c>
      <c r="O51" s="70">
        <f t="shared" si="54"/>
        <v>0.93893061060056759</v>
      </c>
      <c r="P51" s="70">
        <f t="shared" si="55"/>
        <v>0.50426108354044397</v>
      </c>
      <c r="Q51" s="73">
        <f t="shared" si="56"/>
        <v>-20.315823170172859</v>
      </c>
      <c r="R51" s="73">
        <f t="shared" si="57"/>
        <v>-17.739981058635934</v>
      </c>
      <c r="S51" s="70">
        <f t="shared" si="58"/>
        <v>8.0603970125546542</v>
      </c>
      <c r="T51" s="70">
        <f t="shared" si="59"/>
        <v>-0.19982864507299022</v>
      </c>
      <c r="U51" s="70">
        <f t="shared" si="60"/>
        <v>7.648019060083981</v>
      </c>
      <c r="V51" s="72">
        <f t="shared" si="61"/>
        <v>1.6352149778590774</v>
      </c>
      <c r="W51" s="74">
        <f t="shared" si="39"/>
        <v>82.688793102615122</v>
      </c>
      <c r="X51" s="75"/>
      <c r="Y51" s="44">
        <f t="shared" si="40"/>
        <v>0.9721339137664512</v>
      </c>
      <c r="Z51" s="45">
        <f t="shared" si="18"/>
        <v>55.699170380352371</v>
      </c>
      <c r="AA51" s="46">
        <f t="shared" si="41"/>
        <v>55.699170380352371</v>
      </c>
      <c r="AB51" s="47">
        <f t="shared" si="42"/>
        <v>6.4510902919590052E-7</v>
      </c>
      <c r="AC51" s="48">
        <f>(Fx*G51+Fy*H51)/Data!AB51</f>
        <v>103.53585919873434</v>
      </c>
      <c r="AD51" s="118">
        <f t="shared" si="43"/>
        <v>71.091657295779569</v>
      </c>
      <c r="AE51" s="85">
        <f t="shared" si="62"/>
        <v>1.2407834905108017</v>
      </c>
      <c r="AF51" s="72">
        <f t="shared" si="63"/>
        <v>-1.6798543102697749</v>
      </c>
      <c r="AG51" s="75">
        <f t="shared" si="64"/>
        <v>2.0074815719544197</v>
      </c>
      <c r="AH51" s="87" t="s">
        <v>36</v>
      </c>
      <c r="AI51" s="87" t="s">
        <v>36</v>
      </c>
      <c r="AJ51" s="75">
        <f t="shared" si="65"/>
        <v>1.9008091630789914</v>
      </c>
      <c r="AK51" s="75">
        <f t="shared" si="66"/>
        <v>6.6826552221817366</v>
      </c>
      <c r="AL51" s="75">
        <f t="shared" si="67"/>
        <v>0.30185206552011579</v>
      </c>
      <c r="AM51" s="75">
        <f t="shared" si="68"/>
        <v>0.67028184824633541</v>
      </c>
      <c r="AN51" s="75">
        <f t="shared" si="69"/>
        <v>2.1694587398233418</v>
      </c>
      <c r="AO51" s="75">
        <f t="shared" si="70"/>
        <v>-0.26864957674435042</v>
      </c>
      <c r="AP51" s="75">
        <f t="shared" si="71"/>
        <v>0.93893142499068571</v>
      </c>
      <c r="AQ51" s="75">
        <f t="shared" si="72"/>
        <v>0.50426140342165215</v>
      </c>
      <c r="AR51" s="88">
        <f t="shared" si="73"/>
        <v>-20.315803940343503</v>
      </c>
      <c r="AS51" s="88">
        <f t="shared" si="74"/>
        <v>-17.739965997272179</v>
      </c>
      <c r="AT51" s="75">
        <f t="shared" si="75"/>
        <v>8.0603970125546542</v>
      </c>
      <c r="AU51" s="75">
        <f t="shared" si="76"/>
        <v>-0.19982864507299022</v>
      </c>
      <c r="AV51" s="75">
        <f t="shared" si="77"/>
        <v>7.6480214371132593</v>
      </c>
      <c r="AW51" s="72">
        <f t="shared" si="78"/>
        <v>1.6352138235386664</v>
      </c>
    </row>
    <row r="52" spans="1:49">
      <c r="A52" s="55"/>
      <c r="B52" s="57">
        <f t="shared" si="79"/>
        <v>49</v>
      </c>
      <c r="C52" s="70">
        <f t="shared" si="80"/>
        <v>1.2634682801282242</v>
      </c>
      <c r="D52" s="71">
        <f t="shared" si="44"/>
        <v>72.391400000000061</v>
      </c>
      <c r="E52" s="72">
        <f t="shared" si="45"/>
        <v>-1.7249906897988776</v>
      </c>
      <c r="F52" s="70">
        <f t="shared" si="46"/>
        <v>2.0472263196737086</v>
      </c>
      <c r="G52" s="73">
        <f t="shared" si="47"/>
        <v>-1.9953454017951344E-6</v>
      </c>
      <c r="H52" s="73">
        <f t="shared" si="48"/>
        <v>1.741264208376947E-6</v>
      </c>
      <c r="I52" s="70">
        <f t="shared" si="49"/>
        <v>1.8781243734615689</v>
      </c>
      <c r="J52" s="70">
        <f t="shared" si="50"/>
        <v>6.6439566716077678</v>
      </c>
      <c r="K52" s="70">
        <f t="shared" si="51"/>
        <v>0.30602113662133124</v>
      </c>
      <c r="L52" s="70">
        <f t="shared" si="52"/>
        <v>0.68071627826437586</v>
      </c>
      <c r="M52" s="70">
        <f t="shared" si="53"/>
        <v>2.1548552387040858</v>
      </c>
      <c r="N52" s="70">
        <f t="shared" si="9"/>
        <v>-0.27673086524251689</v>
      </c>
      <c r="O52" s="70">
        <f t="shared" si="54"/>
        <v>0.95744714350689253</v>
      </c>
      <c r="P52" s="70">
        <f t="shared" si="55"/>
        <v>0.51150973768788521</v>
      </c>
      <c r="Q52" s="73">
        <f t="shared" si="56"/>
        <v>-19.885367175761502</v>
      </c>
      <c r="R52" s="73">
        <f t="shared" si="57"/>
        <v>-17.404479556295016</v>
      </c>
      <c r="S52" s="70">
        <f t="shared" si="58"/>
        <v>8.0603970125546542</v>
      </c>
      <c r="T52" s="70">
        <f t="shared" si="59"/>
        <v>-0.19982864507299022</v>
      </c>
      <c r="U52" s="70">
        <f t="shared" si="60"/>
        <v>7.702053125470167</v>
      </c>
      <c r="V52" s="72">
        <f t="shared" si="61"/>
        <v>1.6090879204461106</v>
      </c>
      <c r="W52" s="74">
        <f t="shared" si="39"/>
        <v>84.165029579161057</v>
      </c>
      <c r="X52" s="75"/>
      <c r="Y52" s="44">
        <f t="shared" si="40"/>
        <v>0.98673805726098796</v>
      </c>
      <c r="Z52" s="45">
        <f t="shared" si="18"/>
        <v>56.53592616599277</v>
      </c>
      <c r="AA52" s="46">
        <f t="shared" si="41"/>
        <v>56.53592616599277</v>
      </c>
      <c r="AB52" s="47">
        <f t="shared" si="42"/>
        <v>6.4237528085708817E-7</v>
      </c>
      <c r="AC52" s="48">
        <f>(Fx*G52+Fy*H52)/Data!AB52</f>
        <v>102.2435095860121</v>
      </c>
      <c r="AD52" s="118">
        <f t="shared" si="43"/>
        <v>72.391457295779574</v>
      </c>
      <c r="AE52" s="85">
        <f t="shared" si="62"/>
        <v>1.2634692801282241</v>
      </c>
      <c r="AF52" s="72">
        <f t="shared" si="63"/>
        <v>-1.7249926851442794</v>
      </c>
      <c r="AG52" s="75">
        <f t="shared" si="64"/>
        <v>2.047228060937917</v>
      </c>
      <c r="AH52" s="87" t="s">
        <v>36</v>
      </c>
      <c r="AI52" s="87" t="s">
        <v>36</v>
      </c>
      <c r="AJ52" s="75">
        <f t="shared" si="65"/>
        <v>1.878123373461569</v>
      </c>
      <c r="AK52" s="75">
        <f t="shared" si="66"/>
        <v>6.6439549543852223</v>
      </c>
      <c r="AL52" s="75">
        <f t="shared" si="67"/>
        <v>0.30602131855797521</v>
      </c>
      <c r="AM52" s="75">
        <f t="shared" si="68"/>
        <v>0.68071673870301275</v>
      </c>
      <c r="AN52" s="75">
        <f t="shared" si="69"/>
        <v>2.1548545963288053</v>
      </c>
      <c r="AO52" s="75">
        <f t="shared" si="70"/>
        <v>-0.27673122286723628</v>
      </c>
      <c r="AP52" s="75">
        <f t="shared" si="71"/>
        <v>0.95744796157024858</v>
      </c>
      <c r="AQ52" s="75">
        <f t="shared" si="72"/>
        <v>0.51151005683932249</v>
      </c>
      <c r="AR52" s="88">
        <f t="shared" si="73"/>
        <v>-19.885348448186157</v>
      </c>
      <c r="AS52" s="88">
        <f t="shared" si="74"/>
        <v>-17.404465031213928</v>
      </c>
      <c r="AT52" s="75">
        <f t="shared" si="75"/>
        <v>8.0603970125546542</v>
      </c>
      <c r="AU52" s="75">
        <f t="shared" si="76"/>
        <v>-0.19982864507299022</v>
      </c>
      <c r="AV52" s="75">
        <f t="shared" si="77"/>
        <v>7.7020555118706904</v>
      </c>
      <c r="AW52" s="72">
        <f t="shared" si="78"/>
        <v>1.6090867713614461</v>
      </c>
    </row>
    <row r="53" spans="1:49">
      <c r="A53" s="55"/>
      <c r="B53" s="57">
        <f t="shared" si="79"/>
        <v>50</v>
      </c>
      <c r="C53" s="70">
        <f t="shared" si="80"/>
        <v>1.2861540697456466</v>
      </c>
      <c r="D53" s="71">
        <f t="shared" si="44"/>
        <v>73.69120000000008</v>
      </c>
      <c r="E53" s="72">
        <f t="shared" si="45"/>
        <v>-1.7703748087796631</v>
      </c>
      <c r="F53" s="70">
        <f t="shared" si="46"/>
        <v>2.0864825841613457</v>
      </c>
      <c r="G53" s="73">
        <f t="shared" si="47"/>
        <v>-2.0055504217353359E-6</v>
      </c>
      <c r="H53" s="73">
        <f t="shared" si="48"/>
        <v>1.7195823796001264E-6</v>
      </c>
      <c r="I53" s="70">
        <f t="shared" si="49"/>
        <v>1.8554385838441465</v>
      </c>
      <c r="J53" s="70">
        <f t="shared" si="50"/>
        <v>6.6047475394304769</v>
      </c>
      <c r="K53" s="70">
        <f t="shared" si="51"/>
        <v>0.31010577186409738</v>
      </c>
      <c r="L53" s="70">
        <f t="shared" si="52"/>
        <v>0.69117169491607344</v>
      </c>
      <c r="M53" s="70">
        <f t="shared" si="53"/>
        <v>2.1403151868096226</v>
      </c>
      <c r="N53" s="70">
        <f t="shared" si="9"/>
        <v>-0.28487660296547612</v>
      </c>
      <c r="O53" s="70">
        <f t="shared" si="54"/>
        <v>0.97604829788155001</v>
      </c>
      <c r="P53" s="70">
        <f t="shared" si="55"/>
        <v>0.51874079924182359</v>
      </c>
      <c r="Q53" s="73">
        <f t="shared" si="56"/>
        <v>-19.465781649128402</v>
      </c>
      <c r="R53" s="73">
        <f t="shared" si="57"/>
        <v>-17.08059890080736</v>
      </c>
      <c r="S53" s="70">
        <f t="shared" si="58"/>
        <v>8.0603970125546542</v>
      </c>
      <c r="T53" s="70">
        <f t="shared" si="59"/>
        <v>-0.19982864507299022</v>
      </c>
      <c r="U53" s="70">
        <f t="shared" si="60"/>
        <v>7.7562819287116165</v>
      </c>
      <c r="V53" s="72">
        <f t="shared" si="61"/>
        <v>1.5830782516377693</v>
      </c>
      <c r="W53" s="74">
        <f t="shared" si="39"/>
        <v>85.645106527340218</v>
      </c>
      <c r="X53" s="75"/>
      <c r="Y53" s="44">
        <f t="shared" si="40"/>
        <v>1.001278106238449</v>
      </c>
      <c r="Z53" s="45">
        <f t="shared" si="18"/>
        <v>57.369009606314798</v>
      </c>
      <c r="AA53" s="46">
        <f t="shared" si="41"/>
        <v>57.369009606314798</v>
      </c>
      <c r="AB53" s="47">
        <f t="shared" si="42"/>
        <v>6.3945827810663047E-7</v>
      </c>
      <c r="AC53" s="48">
        <f>(Fx*G53+Fy*H53)/Data!AB53</f>
        <v>100.9741002339041</v>
      </c>
      <c r="AD53" s="118">
        <f t="shared" si="43"/>
        <v>73.691257295779579</v>
      </c>
      <c r="AE53" s="85">
        <f t="shared" si="62"/>
        <v>1.2861550697456465</v>
      </c>
      <c r="AF53" s="72">
        <f t="shared" si="63"/>
        <v>-1.7703768143300849</v>
      </c>
      <c r="AG53" s="75">
        <f t="shared" si="64"/>
        <v>2.0864843037437253</v>
      </c>
      <c r="AH53" s="87" t="s">
        <v>36</v>
      </c>
      <c r="AI53" s="87" t="s">
        <v>36</v>
      </c>
      <c r="AJ53" s="75">
        <f t="shared" si="65"/>
        <v>1.8554375838441466</v>
      </c>
      <c r="AK53" s="75">
        <f t="shared" si="66"/>
        <v>6.6047458000216146</v>
      </c>
      <c r="AL53" s="75">
        <f t="shared" si="67"/>
        <v>0.3101059500131591</v>
      </c>
      <c r="AM53" s="75">
        <f t="shared" si="68"/>
        <v>0.69117215622528994</v>
      </c>
      <c r="AN53" s="75">
        <f t="shared" si="69"/>
        <v>2.1403145473513443</v>
      </c>
      <c r="AO53" s="75">
        <f t="shared" si="70"/>
        <v>-0.28487696350719771</v>
      </c>
      <c r="AP53" s="75">
        <f t="shared" si="71"/>
        <v>0.97604911973248676</v>
      </c>
      <c r="AQ53" s="75">
        <f t="shared" si="72"/>
        <v>0.51874111757226293</v>
      </c>
      <c r="AR53" s="88">
        <f t="shared" si="73"/>
        <v>-19.465763378634858</v>
      </c>
      <c r="AS53" s="88">
        <f t="shared" si="74"/>
        <v>-17.080584864931868</v>
      </c>
      <c r="AT53" s="75">
        <f t="shared" si="75"/>
        <v>8.0603970125546542</v>
      </c>
      <c r="AU53" s="75">
        <f t="shared" si="76"/>
        <v>-0.19982864507299022</v>
      </c>
      <c r="AV53" s="75">
        <f t="shared" si="77"/>
        <v>7.7562843229119345</v>
      </c>
      <c r="AW53" s="72">
        <f t="shared" si="78"/>
        <v>1.583077107665209</v>
      </c>
    </row>
    <row r="54" spans="1:49">
      <c r="A54" s="55"/>
      <c r="B54" s="57">
        <f t="shared" si="79"/>
        <v>51</v>
      </c>
      <c r="C54" s="70">
        <f t="shared" si="80"/>
        <v>1.308839859363069</v>
      </c>
      <c r="D54" s="71">
        <f t="shared" si="44"/>
        <v>74.991000000000085</v>
      </c>
      <c r="E54" s="72">
        <f t="shared" si="45"/>
        <v>-1.8159760798006035</v>
      </c>
      <c r="F54" s="70">
        <f t="shared" si="46"/>
        <v>2.1252457833262319</v>
      </c>
      <c r="G54" s="73">
        <f t="shared" si="47"/>
        <v>-2.0144872001637282E-6</v>
      </c>
      <c r="H54" s="73">
        <f t="shared" si="48"/>
        <v>1.6978044676818627E-6</v>
      </c>
      <c r="I54" s="70">
        <f t="shared" si="49"/>
        <v>1.8327527942267241</v>
      </c>
      <c r="J54" s="70">
        <f t="shared" si="50"/>
        <v>6.5650407625723863</v>
      </c>
      <c r="K54" s="70">
        <f t="shared" si="51"/>
        <v>0.31410315671293931</v>
      </c>
      <c r="L54" s="70">
        <f t="shared" si="52"/>
        <v>0.70164610035927055</v>
      </c>
      <c r="M54" s="70">
        <f t="shared" si="53"/>
        <v>2.1258433965175834</v>
      </c>
      <c r="N54" s="70">
        <f t="shared" si="9"/>
        <v>-0.29309060229085926</v>
      </c>
      <c r="O54" s="70">
        <f t="shared" si="54"/>
        <v>0.99473670265012881</v>
      </c>
      <c r="P54" s="70">
        <f t="shared" si="55"/>
        <v>0.5259522124625915</v>
      </c>
      <c r="Q54" s="73">
        <f t="shared" si="56"/>
        <v>-19.056105947302179</v>
      </c>
      <c r="R54" s="73">
        <f t="shared" si="57"/>
        <v>-16.767335135738541</v>
      </c>
      <c r="S54" s="70">
        <f t="shared" si="58"/>
        <v>8.0603970125546542</v>
      </c>
      <c r="T54" s="70">
        <f t="shared" si="59"/>
        <v>-0.19982864507299022</v>
      </c>
      <c r="U54" s="70">
        <f t="shared" si="60"/>
        <v>7.8106700142613104</v>
      </c>
      <c r="V54" s="72">
        <f t="shared" si="61"/>
        <v>1.5571830850271744</v>
      </c>
      <c r="W54" s="74">
        <f t="shared" si="39"/>
        <v>87.129056788286789</v>
      </c>
      <c r="X54" s="75"/>
      <c r="Y54" s="44">
        <f t="shared" si="40"/>
        <v>1.0157498934292892</v>
      </c>
      <c r="Z54" s="45">
        <f t="shared" si="18"/>
        <v>58.198181934361422</v>
      </c>
      <c r="AA54" s="46">
        <f t="shared" si="41"/>
        <v>58.198181934361422</v>
      </c>
      <c r="AB54" s="47">
        <f t="shared" si="42"/>
        <v>6.3635707947540254E-7</v>
      </c>
      <c r="AC54" s="48">
        <f>(Fx*G54+Fy*H54)/Data!AB54</f>
        <v>99.731387991189351</v>
      </c>
      <c r="AD54" s="118">
        <f t="shared" si="43"/>
        <v>74.991057295779584</v>
      </c>
      <c r="AE54" s="85">
        <f t="shared" si="62"/>
        <v>1.3088408593630689</v>
      </c>
      <c r="AF54" s="72">
        <f t="shared" si="63"/>
        <v>-1.8159780942878037</v>
      </c>
      <c r="AG54" s="75">
        <f t="shared" si="64"/>
        <v>2.1252474811306996</v>
      </c>
      <c r="AH54" s="87" t="s">
        <v>36</v>
      </c>
      <c r="AI54" s="87" t="s">
        <v>36</v>
      </c>
      <c r="AJ54" s="75">
        <f t="shared" si="65"/>
        <v>1.8327517942267242</v>
      </c>
      <c r="AK54" s="75">
        <f t="shared" si="66"/>
        <v>6.5650390014792146</v>
      </c>
      <c r="AL54" s="75">
        <f t="shared" si="67"/>
        <v>0.31410333095697984</v>
      </c>
      <c r="AM54" s="75">
        <f t="shared" si="68"/>
        <v>0.70164656247230939</v>
      </c>
      <c r="AN54" s="75">
        <f t="shared" si="69"/>
        <v>2.1258427601605039</v>
      </c>
      <c r="AO54" s="75">
        <f t="shared" si="70"/>
        <v>-0.2930909659337797</v>
      </c>
      <c r="AP54" s="75">
        <f t="shared" si="71"/>
        <v>0.99473752840608898</v>
      </c>
      <c r="AQ54" s="75">
        <f t="shared" si="72"/>
        <v>0.5259525298819907</v>
      </c>
      <c r="AR54" s="88">
        <f t="shared" si="73"/>
        <v>-19.056088094240611</v>
      </c>
      <c r="AS54" s="88">
        <f t="shared" si="74"/>
        <v>-16.767321547505421</v>
      </c>
      <c r="AT54" s="75">
        <f t="shared" si="75"/>
        <v>8.0603970125546542</v>
      </c>
      <c r="AU54" s="75">
        <f t="shared" si="76"/>
        <v>-0.19982864507299022</v>
      </c>
      <c r="AV54" s="75">
        <f t="shared" si="77"/>
        <v>7.8106724147071045</v>
      </c>
      <c r="AW54" s="72">
        <f t="shared" si="78"/>
        <v>1.5571819460359921</v>
      </c>
    </row>
    <row r="55" spans="1:49">
      <c r="A55" s="55"/>
      <c r="B55" s="57">
        <f t="shared" si="79"/>
        <v>52</v>
      </c>
      <c r="C55" s="70">
        <f t="shared" si="80"/>
        <v>1.3315256489804914</v>
      </c>
      <c r="D55" s="71">
        <f t="shared" si="44"/>
        <v>76.29080000000009</v>
      </c>
      <c r="E55" s="72">
        <f t="shared" si="45"/>
        <v>-1.8617655631628534</v>
      </c>
      <c r="F55" s="70">
        <f t="shared" si="46"/>
        <v>2.1635143707052173</v>
      </c>
      <c r="G55" s="73">
        <f t="shared" si="47"/>
        <v>-2.0221408441045696E-6</v>
      </c>
      <c r="H55" s="73">
        <f t="shared" si="48"/>
        <v>1.6759861876103344E-6</v>
      </c>
      <c r="I55" s="70">
        <f t="shared" si="49"/>
        <v>1.8100670046093017</v>
      </c>
      <c r="J55" s="70">
        <f t="shared" si="50"/>
        <v>6.52484787790402</v>
      </c>
      <c r="K55" s="70">
        <f t="shared" si="51"/>
        <v>0.31801059088075601</v>
      </c>
      <c r="L55" s="70">
        <f t="shared" si="52"/>
        <v>0.71213800194088284</v>
      </c>
      <c r="M55" s="70">
        <f t="shared" si="53"/>
        <v>2.1114440607681542</v>
      </c>
      <c r="N55" s="70">
        <f t="shared" si="9"/>
        <v>-0.30137705615885246</v>
      </c>
      <c r="O55" s="70">
        <f t="shared" si="54"/>
        <v>1.0135150580997352</v>
      </c>
      <c r="P55" s="70">
        <f t="shared" si="55"/>
        <v>0.53314194623791766</v>
      </c>
      <c r="Q55" s="73">
        <f t="shared" si="56"/>
        <v>-18.65549624582647</v>
      </c>
      <c r="R55" s="73">
        <f t="shared" si="57"/>
        <v>-16.463800949194091</v>
      </c>
      <c r="S55" s="70">
        <f t="shared" si="58"/>
        <v>8.0603970125546542</v>
      </c>
      <c r="T55" s="70">
        <f t="shared" si="59"/>
        <v>-0.19982864507299022</v>
      </c>
      <c r="U55" s="70">
        <f t="shared" si="60"/>
        <v>7.8651823160358862</v>
      </c>
      <c r="V55" s="72">
        <f t="shared" si="61"/>
        <v>1.5313993803060573</v>
      </c>
      <c r="W55" s="74">
        <f t="shared" si="39"/>
        <v>88.616918702894566</v>
      </c>
      <c r="X55" s="75"/>
      <c r="Y55" s="44">
        <f t="shared" si="40"/>
        <v>1.0301492258920015</v>
      </c>
      <c r="Z55" s="45">
        <f t="shared" si="18"/>
        <v>59.023202912280553</v>
      </c>
      <c r="AA55" s="46">
        <f t="shared" si="41"/>
        <v>59.023202912280553</v>
      </c>
      <c r="AB55" s="47">
        <f t="shared" si="42"/>
        <v>6.3307036257675975E-7</v>
      </c>
      <c r="AC55" s="48">
        <f>(Fx*G55+Fy*H55)/Data!AB55</f>
        <v>98.519242528739639</v>
      </c>
      <c r="AD55" s="118">
        <f t="shared" si="43"/>
        <v>76.290857295779603</v>
      </c>
      <c r="AE55" s="85">
        <f t="shared" si="62"/>
        <v>1.3315266489804913</v>
      </c>
      <c r="AF55" s="72">
        <f t="shared" si="63"/>
        <v>-1.8617675853036975</v>
      </c>
      <c r="AG55" s="75">
        <f t="shared" si="64"/>
        <v>2.163516046691405</v>
      </c>
      <c r="AH55" s="87" t="s">
        <v>36</v>
      </c>
      <c r="AI55" s="87" t="s">
        <v>36</v>
      </c>
      <c r="AJ55" s="75">
        <f t="shared" si="65"/>
        <v>1.8100660046093018</v>
      </c>
      <c r="AK55" s="75">
        <f t="shared" si="66"/>
        <v>6.5248460956416849</v>
      </c>
      <c r="AL55" s="75">
        <f t="shared" si="67"/>
        <v>0.31801076109913784</v>
      </c>
      <c r="AM55" s="75">
        <f t="shared" si="68"/>
        <v>0.71213846479286369</v>
      </c>
      <c r="AN55" s="75">
        <f t="shared" si="69"/>
        <v>2.1114434276977918</v>
      </c>
      <c r="AO55" s="75">
        <f t="shared" si="70"/>
        <v>-0.30137742308849003</v>
      </c>
      <c r="AP55" s="75">
        <f t="shared" si="71"/>
        <v>1.0135158878813528</v>
      </c>
      <c r="AQ55" s="75">
        <f t="shared" si="72"/>
        <v>0.53314226265722287</v>
      </c>
      <c r="AR55" s="88">
        <f t="shared" si="73"/>
        <v>-18.655478775343493</v>
      </c>
      <c r="AS55" s="88">
        <f t="shared" si="74"/>
        <v>-16.463787771829761</v>
      </c>
      <c r="AT55" s="75">
        <f t="shared" si="75"/>
        <v>8.0603970125546542</v>
      </c>
      <c r="AU55" s="75">
        <f t="shared" si="76"/>
        <v>-0.19982864507299022</v>
      </c>
      <c r="AV55" s="75">
        <f t="shared" si="77"/>
        <v>7.865184721190019</v>
      </c>
      <c r="AW55" s="72">
        <f t="shared" si="78"/>
        <v>1.5313982461590365</v>
      </c>
    </row>
    <row r="56" spans="1:49">
      <c r="A56" s="55"/>
      <c r="B56" s="57">
        <f t="shared" si="79"/>
        <v>53</v>
      </c>
      <c r="C56" s="70">
        <f t="shared" si="80"/>
        <v>1.3542114385979138</v>
      </c>
      <c r="D56" s="71">
        <f t="shared" si="44"/>
        <v>77.590600000000094</v>
      </c>
      <c r="E56" s="72">
        <f t="shared" si="45"/>
        <v>-1.9077139795495954</v>
      </c>
      <c r="F56" s="70">
        <f t="shared" si="46"/>
        <v>2.2012880574312019</v>
      </c>
      <c r="G56" s="73">
        <f t="shared" si="47"/>
        <v>-2.0284963007100032E-6</v>
      </c>
      <c r="H56" s="73">
        <f t="shared" si="48"/>
        <v>1.6541827028149214E-6</v>
      </c>
      <c r="I56" s="70">
        <f t="shared" si="49"/>
        <v>1.7873812149918793</v>
      </c>
      <c r="J56" s="70">
        <f t="shared" si="50"/>
        <v>6.4841807238777189</v>
      </c>
      <c r="K56" s="70">
        <f t="shared" si="51"/>
        <v>0.32182530047024516</v>
      </c>
      <c r="L56" s="70">
        <f t="shared" si="52"/>
        <v>0.72264594667933746</v>
      </c>
      <c r="M56" s="70">
        <f t="shared" si="53"/>
        <v>2.0971214064402104</v>
      </c>
      <c r="N56" s="70">
        <f t="shared" si="9"/>
        <v>-0.30974019144833109</v>
      </c>
      <c r="O56" s="70">
        <f t="shared" si="54"/>
        <v>1.0323861381276691</v>
      </c>
      <c r="P56" s="70">
        <f t="shared" si="55"/>
        <v>0.54030798983312311</v>
      </c>
      <c r="Q56" s="73">
        <f t="shared" si="56"/>
        <v>-18.263210375901103</v>
      </c>
      <c r="R56" s="73">
        <f t="shared" si="57"/>
        <v>-16.169210551290796</v>
      </c>
      <c r="S56" s="70">
        <f t="shared" si="58"/>
        <v>8.0603970125546542</v>
      </c>
      <c r="T56" s="70">
        <f t="shared" si="59"/>
        <v>-0.19982864507299022</v>
      </c>
      <c r="U56" s="70">
        <f t="shared" si="60"/>
        <v>7.9197841578179125</v>
      </c>
      <c r="V56" s="72">
        <f t="shared" si="61"/>
        <v>1.5057239559402933</v>
      </c>
      <c r="W56" s="74">
        <f t="shared" si="39"/>
        <v>90.108735997160821</v>
      </c>
      <c r="X56" s="75"/>
      <c r="Y56" s="44">
        <f t="shared" si="40"/>
        <v>1.044471876746039</v>
      </c>
      <c r="Z56" s="45">
        <f t="shared" si="18"/>
        <v>59.843830357656344</v>
      </c>
      <c r="AA56" s="46">
        <f t="shared" si="41"/>
        <v>59.843830357656344</v>
      </c>
      <c r="AB56" s="47">
        <f t="shared" si="42"/>
        <v>6.2959645630300543E-7</v>
      </c>
      <c r="AC56" s="48">
        <f>(Fx*G56+Fy*H56)/Data!AB56</f>
        <v>97.341670407016039</v>
      </c>
      <c r="AD56" s="118">
        <f t="shared" si="43"/>
        <v>77.590657295779607</v>
      </c>
      <c r="AE56" s="85">
        <f t="shared" si="62"/>
        <v>1.3542124385979137</v>
      </c>
      <c r="AF56" s="72">
        <f t="shared" si="63"/>
        <v>-1.9077160080458961</v>
      </c>
      <c r="AG56" s="75">
        <f t="shared" si="64"/>
        <v>2.2012897116139047</v>
      </c>
      <c r="AH56" s="87" t="s">
        <v>36</v>
      </c>
      <c r="AI56" s="87" t="s">
        <v>36</v>
      </c>
      <c r="AJ56" s="75">
        <f t="shared" si="65"/>
        <v>1.7873802149918794</v>
      </c>
      <c r="AK56" s="75">
        <f t="shared" si="66"/>
        <v>6.48417892097482</v>
      </c>
      <c r="AL56" s="75">
        <f t="shared" si="67"/>
        <v>0.32182546653903787</v>
      </c>
      <c r="AM56" s="75">
        <f t="shared" si="68"/>
        <v>0.72264641020700127</v>
      </c>
      <c r="AN56" s="75">
        <f t="shared" si="69"/>
        <v>2.0971207768437536</v>
      </c>
      <c r="AO56" s="75">
        <f t="shared" si="70"/>
        <v>-0.30974056185187426</v>
      </c>
      <c r="AP56" s="75">
        <f t="shared" si="71"/>
        <v>1.0323869720588756</v>
      </c>
      <c r="AQ56" s="75">
        <f t="shared" si="72"/>
        <v>0.54030830516409001</v>
      </c>
      <c r="AR56" s="88">
        <f t="shared" si="73"/>
        <v>-18.263193257325529</v>
      </c>
      <c r="AS56" s="88">
        <f t="shared" si="74"/>
        <v>-16.169197752198876</v>
      </c>
      <c r="AT56" s="75">
        <f t="shared" si="75"/>
        <v>8.0603970125546542</v>
      </c>
      <c r="AU56" s="75">
        <f t="shared" si="76"/>
        <v>-0.19982864507299022</v>
      </c>
      <c r="AV56" s="75">
        <f t="shared" si="77"/>
        <v>7.9197865661604174</v>
      </c>
      <c r="AW56" s="72">
        <f t="shared" si="78"/>
        <v>1.5057228264942502</v>
      </c>
    </row>
    <row r="57" spans="1:49">
      <c r="A57" s="55"/>
      <c r="B57" s="57">
        <f t="shared" si="79"/>
        <v>54</v>
      </c>
      <c r="C57" s="70">
        <f t="shared" si="80"/>
        <v>1.3768972282153362</v>
      </c>
      <c r="D57" s="71">
        <f t="shared" si="44"/>
        <v>78.890400000000099</v>
      </c>
      <c r="E57" s="72">
        <f t="shared" si="45"/>
        <v>-1.9537917061241474</v>
      </c>
      <c r="F57" s="70">
        <f t="shared" si="46"/>
        <v>2.2385677989111135</v>
      </c>
      <c r="G57" s="73">
        <f t="shared" si="47"/>
        <v>-2.0335383350555958E-6</v>
      </c>
      <c r="H57" s="73">
        <f t="shared" si="48"/>
        <v>1.6324485789809273E-6</v>
      </c>
      <c r="I57" s="70">
        <f t="shared" si="49"/>
        <v>1.7646954253744569</v>
      </c>
      <c r="J57" s="70">
        <f t="shared" si="50"/>
        <v>6.4430514479415573</v>
      </c>
      <c r="K57" s="70">
        <f t="shared" si="51"/>
        <v>0.32554443569787539</v>
      </c>
      <c r="L57" s="70">
        <f t="shared" si="52"/>
        <v>0.73316851549191075</v>
      </c>
      <c r="M57" s="70">
        <f t="shared" si="53"/>
        <v>2.0828797024000067</v>
      </c>
      <c r="N57" s="70">
        <f t="shared" si="9"/>
        <v>-0.31818427702554986</v>
      </c>
      <c r="O57" s="70">
        <f t="shared" si="54"/>
        <v>1.0513527925174613</v>
      </c>
      <c r="P57" s="70">
        <f t="shared" si="55"/>
        <v>0.54744834891588812</v>
      </c>
      <c r="Q57" s="73">
        <f t="shared" si="56"/>
        <v>-17.878594942126149</v>
      </c>
      <c r="R57" s="73">
        <f t="shared" si="57"/>
        <v>-15.882866832726725</v>
      </c>
      <c r="S57" s="70">
        <f t="shared" si="58"/>
        <v>8.0603970125546542</v>
      </c>
      <c r="T57" s="70">
        <f t="shared" si="59"/>
        <v>-0.19982864507299022</v>
      </c>
      <c r="U57" s="70">
        <f t="shared" si="60"/>
        <v>7.9744412513389644</v>
      </c>
      <c r="V57" s="72">
        <f t="shared" si="61"/>
        <v>1.4801535007885034</v>
      </c>
      <c r="W57" s="74">
        <f t="shared" si="39"/>
        <v>91.60455768482953</v>
      </c>
      <c r="X57" s="75"/>
      <c r="Y57" s="44">
        <f t="shared" si="40"/>
        <v>1.0587135771231213</v>
      </c>
      <c r="Z57" s="45">
        <f t="shared" si="18"/>
        <v>60.659819682353032</v>
      </c>
      <c r="AA57" s="46">
        <f t="shared" si="41"/>
        <v>60.659819682353032</v>
      </c>
      <c r="AB57" s="47">
        <f t="shared" si="42"/>
        <v>6.2593333516325345E-7</v>
      </c>
      <c r="AC57" s="48">
        <f>(Fx*G57+Fy*H57)/Data!AB57</f>
        <v>96.202825782415147</v>
      </c>
      <c r="AD57" s="118">
        <f t="shared" si="43"/>
        <v>78.890457295779598</v>
      </c>
      <c r="AE57" s="85">
        <f t="shared" si="62"/>
        <v>1.3768982282153361</v>
      </c>
      <c r="AF57" s="72">
        <f t="shared" si="63"/>
        <v>-1.9537937396624825</v>
      </c>
      <c r="AG57" s="75">
        <f t="shared" si="64"/>
        <v>2.2385694313596924</v>
      </c>
      <c r="AH57" s="87" t="s">
        <v>36</v>
      </c>
      <c r="AI57" s="87" t="s">
        <v>36</v>
      </c>
      <c r="AJ57" s="75">
        <f t="shared" si="65"/>
        <v>1.764694425374457</v>
      </c>
      <c r="AK57" s="75">
        <f t="shared" si="66"/>
        <v>6.4430496249404827</v>
      </c>
      <c r="AL57" s="75">
        <f t="shared" si="67"/>
        <v>0.32554459748975262</v>
      </c>
      <c r="AM57" s="75">
        <f t="shared" si="68"/>
        <v>0.73316897963336858</v>
      </c>
      <c r="AN57" s="75">
        <f t="shared" si="69"/>
        <v>2.0828790764666718</v>
      </c>
      <c r="AO57" s="75">
        <f t="shared" si="70"/>
        <v>-0.31818465109221483</v>
      </c>
      <c r="AP57" s="75">
        <f t="shared" si="71"/>
        <v>1.0513536307255822</v>
      </c>
      <c r="AQ57" s="75">
        <f t="shared" si="72"/>
        <v>0.54744866307091211</v>
      </c>
      <c r="AR57" s="88">
        <f t="shared" si="73"/>
        <v>-17.87857814844488</v>
      </c>
      <c r="AS57" s="88">
        <f t="shared" si="74"/>
        <v>-15.882854382965762</v>
      </c>
      <c r="AT57" s="75">
        <f t="shared" si="75"/>
        <v>8.0603970125546542</v>
      </c>
      <c r="AU57" s="75">
        <f t="shared" si="76"/>
        <v>-0.19982864507299022</v>
      </c>
      <c r="AV57" s="75">
        <f t="shared" si="77"/>
        <v>7.9744436613668963</v>
      </c>
      <c r="AW57" s="72">
        <f t="shared" si="78"/>
        <v>1.4801523758947845</v>
      </c>
    </row>
    <row r="58" spans="1:49">
      <c r="A58" s="55"/>
      <c r="B58" s="57">
        <f t="shared" si="79"/>
        <v>55</v>
      </c>
      <c r="C58" s="70">
        <f t="shared" si="80"/>
        <v>1.3995830178327586</v>
      </c>
      <c r="D58" s="71">
        <f t="shared" si="44"/>
        <v>80.190200000000104</v>
      </c>
      <c r="E58" s="72">
        <f t="shared" si="45"/>
        <v>-1.9999687721154098</v>
      </c>
      <c r="F58" s="70">
        <f t="shared" si="46"/>
        <v>2.2753557832068241</v>
      </c>
      <c r="G58" s="73">
        <f t="shared" si="47"/>
        <v>-2.0372515026068072E-6</v>
      </c>
      <c r="H58" s="73">
        <f t="shared" si="48"/>
        <v>1.6108379257140371E-6</v>
      </c>
      <c r="I58" s="70">
        <f t="shared" si="49"/>
        <v>1.7420096357570345</v>
      </c>
      <c r="J58" s="70">
        <f t="shared" si="50"/>
        <v>6.4014725142922861</v>
      </c>
      <c r="K58" s="70">
        <f t="shared" si="51"/>
        <v>0.32916506859528516</v>
      </c>
      <c r="L58" s="70">
        <f t="shared" si="52"/>
        <v>0.74370431763203815</v>
      </c>
      <c r="M58" s="70">
        <f t="shared" si="53"/>
        <v>2.0687232673624698</v>
      </c>
      <c r="N58" s="70">
        <f t="shared" si="9"/>
        <v>-0.32671363160543532</v>
      </c>
      <c r="O58" s="70">
        <f t="shared" si="54"/>
        <v>1.0704179492374735</v>
      </c>
      <c r="P58" s="70">
        <f t="shared" si="55"/>
        <v>0.55456104183650079</v>
      </c>
      <c r="Q58" s="73">
        <f t="shared" si="56"/>
        <v>-17.50107432898055</v>
      </c>
      <c r="R58" s="73">
        <f t="shared" si="57"/>
        <v>-15.604150412666522</v>
      </c>
      <c r="S58" s="70">
        <f t="shared" si="58"/>
        <v>8.0603970125546542</v>
      </c>
      <c r="T58" s="70">
        <f t="shared" si="59"/>
        <v>-0.19982864507299022</v>
      </c>
      <c r="U58" s="70">
        <f t="shared" si="60"/>
        <v>8.0291196922032011</v>
      </c>
      <c r="V58" s="72">
        <f t="shared" si="61"/>
        <v>1.4546845847166101</v>
      </c>
      <c r="W58" s="74">
        <f t="shared" si="39"/>
        <v>93.10443798596539</v>
      </c>
      <c r="X58" s="75"/>
      <c r="Y58" s="44">
        <f t="shared" si="40"/>
        <v>1.072870008305955</v>
      </c>
      <c r="Z58" s="45">
        <f t="shared" si="18"/>
        <v>61.470923442096797</v>
      </c>
      <c r="AA58" s="46">
        <f t="shared" si="41"/>
        <v>61.470923442096797</v>
      </c>
      <c r="AB58" s="47">
        <f t="shared" si="42"/>
        <v>6.220786317179261E-7</v>
      </c>
      <c r="AC58" s="48">
        <f>(Fx*G58+Fy*H58)/Data!AB58</f>
        <v>95.107034182409208</v>
      </c>
      <c r="AD58" s="118">
        <f t="shared" si="43"/>
        <v>80.190257295779602</v>
      </c>
      <c r="AE58" s="85">
        <f t="shared" si="62"/>
        <v>1.3995840178327585</v>
      </c>
      <c r="AF58" s="72">
        <f t="shared" si="63"/>
        <v>-1.9999708093669124</v>
      </c>
      <c r="AG58" s="75">
        <f t="shared" si="64"/>
        <v>2.2753573940447498</v>
      </c>
      <c r="AH58" s="87" t="s">
        <v>36</v>
      </c>
      <c r="AI58" s="87" t="s">
        <v>36</v>
      </c>
      <c r="AJ58" s="75">
        <f t="shared" si="65"/>
        <v>1.7420086357570346</v>
      </c>
      <c r="AK58" s="75">
        <f t="shared" si="66"/>
        <v>6.4014706717495624</v>
      </c>
      <c r="AL58" s="75">
        <f t="shared" si="67"/>
        <v>0.3291652259794251</v>
      </c>
      <c r="AM58" s="75">
        <f t="shared" si="68"/>
        <v>0.74370478232652992</v>
      </c>
      <c r="AN58" s="75">
        <f t="shared" si="69"/>
        <v>2.0687226452838381</v>
      </c>
      <c r="AO58" s="75">
        <f t="shared" si="70"/>
        <v>-0.32671400952680352</v>
      </c>
      <c r="AP58" s="75">
        <f t="shared" si="71"/>
        <v>1.0704187918533328</v>
      </c>
      <c r="AQ58" s="75">
        <f t="shared" si="72"/>
        <v>0.55456135472845736</v>
      </c>
      <c r="AR58" s="88">
        <f t="shared" si="73"/>
        <v>-17.501057836391048</v>
      </c>
      <c r="AS58" s="88">
        <f t="shared" si="74"/>
        <v>-15.604138286504265</v>
      </c>
      <c r="AT58" s="75">
        <f t="shared" si="75"/>
        <v>8.0603970125546542</v>
      </c>
      <c r="AU58" s="75">
        <f t="shared" si="76"/>
        <v>-0.19982864507299022</v>
      </c>
      <c r="AV58" s="75">
        <f t="shared" si="77"/>
        <v>8.0291221024304189</v>
      </c>
      <c r="AW58" s="72">
        <f t="shared" si="78"/>
        <v>1.4546834642215356</v>
      </c>
    </row>
    <row r="59" spans="1:49">
      <c r="A59" s="55"/>
      <c r="B59" s="57">
        <f t="shared" si="79"/>
        <v>56</v>
      </c>
      <c r="C59" s="70">
        <f t="shared" si="80"/>
        <v>1.422268807450181</v>
      </c>
      <c r="D59" s="71">
        <f t="shared" si="44"/>
        <v>81.490000000000109</v>
      </c>
      <c r="E59" s="72">
        <f t="shared" si="45"/>
        <v>-2.0462148538349965</v>
      </c>
      <c r="F59" s="70">
        <f t="shared" si="46"/>
        <v>2.3116554209164044</v>
      </c>
      <c r="G59" s="73">
        <f t="shared" si="47"/>
        <v>-2.0396201314554219E-6</v>
      </c>
      <c r="H59" s="73">
        <f t="shared" si="48"/>
        <v>1.5894044382847028E-6</v>
      </c>
      <c r="I59" s="70">
        <f t="shared" si="49"/>
        <v>1.7193238461396121</v>
      </c>
      <c r="J59" s="70">
        <f t="shared" si="50"/>
        <v>6.359456711979214</v>
      </c>
      <c r="K59" s="70">
        <f t="shared" si="51"/>
        <v>0.33268419069372368</v>
      </c>
      <c r="L59" s="70">
        <f t="shared" si="52"/>
        <v>0.75425198530282589</v>
      </c>
      <c r="M59" s="70">
        <f t="shared" si="53"/>
        <v>2.0546564775932437</v>
      </c>
      <c r="N59" s="70">
        <f t="shared" si="9"/>
        <v>-0.33533263145363157</v>
      </c>
      <c r="O59" s="70">
        <f t="shared" si="54"/>
        <v>1.0895846167564571</v>
      </c>
      <c r="P59" s="70">
        <f t="shared" si="55"/>
        <v>0.56164409614682986</v>
      </c>
      <c r="Q59" s="73">
        <f t="shared" si="56"/>
        <v>-17.130141279179931</v>
      </c>
      <c r="R59" s="73">
        <f t="shared" si="57"/>
        <v>-15.332510259170432</v>
      </c>
      <c r="S59" s="70">
        <f t="shared" si="58"/>
        <v>8.0603970125546542</v>
      </c>
      <c r="T59" s="70">
        <f t="shared" si="59"/>
        <v>-0.19982864507299022</v>
      </c>
      <c r="U59" s="70">
        <f t="shared" si="60"/>
        <v>8.0837859537982659</v>
      </c>
      <c r="V59" s="72">
        <f t="shared" si="61"/>
        <v>1.4293136682606953</v>
      </c>
      <c r="W59" s="74">
        <f t="shared" si="39"/>
        <v>94.608436260177442</v>
      </c>
      <c r="X59" s="75"/>
      <c r="Y59" s="44">
        <f t="shared" si="40"/>
        <v>1.0869367940261903</v>
      </c>
      <c r="Z59" s="45">
        <f t="shared" si="18"/>
        <v>62.276890895181168</v>
      </c>
      <c r="AA59" s="46">
        <f t="shared" si="41"/>
        <v>62.276890895181168</v>
      </c>
      <c r="AB59" s="47">
        <f t="shared" si="42"/>
        <v>6.1802964079760159E-7</v>
      </c>
      <c r="AC59" s="48">
        <f>(Fx*G59+Fy*H59)/Data!AB59</f>
        <v>94.058812131444512</v>
      </c>
      <c r="AD59" s="118">
        <f t="shared" si="43"/>
        <v>81.490057295779621</v>
      </c>
      <c r="AE59" s="85">
        <f t="shared" si="62"/>
        <v>1.4222698074501809</v>
      </c>
      <c r="AF59" s="72">
        <f t="shared" si="63"/>
        <v>-2.0462168934551279</v>
      </c>
      <c r="AG59" s="75">
        <f t="shared" si="64"/>
        <v>2.3116570103208427</v>
      </c>
      <c r="AH59" s="87" t="s">
        <v>36</v>
      </c>
      <c r="AI59" s="87" t="s">
        <v>36</v>
      </c>
      <c r="AJ59" s="75">
        <f t="shared" si="65"/>
        <v>1.7193228461396122</v>
      </c>
      <c r="AK59" s="75">
        <f t="shared" si="66"/>
        <v>6.3594548504658706</v>
      </c>
      <c r="AL59" s="75">
        <f t="shared" si="67"/>
        <v>0.33268434353570275</v>
      </c>
      <c r="AM59" s="75">
        <f t="shared" si="68"/>
        <v>0.75425245049048761</v>
      </c>
      <c r="AN59" s="75">
        <f t="shared" si="69"/>
        <v>2.0546558595636029</v>
      </c>
      <c r="AO59" s="75">
        <f t="shared" si="70"/>
        <v>-0.33533301342399069</v>
      </c>
      <c r="AP59" s="75">
        <f t="shared" si="71"/>
        <v>1.0895854639144784</v>
      </c>
      <c r="AQ59" s="75">
        <f t="shared" si="72"/>
        <v>0.56164440768892732</v>
      </c>
      <c r="AR59" s="88">
        <f t="shared" si="73"/>
        <v>-17.1301250667053</v>
      </c>
      <c r="AS59" s="88">
        <f t="shared" si="74"/>
        <v>-15.332498433700797</v>
      </c>
      <c r="AT59" s="75">
        <f t="shared" si="75"/>
        <v>8.0603970125546542</v>
      </c>
      <c r="AU59" s="75">
        <f t="shared" si="76"/>
        <v>-0.19982864507299022</v>
      </c>
      <c r="AV59" s="75">
        <f t="shared" si="77"/>
        <v>8.0837883627551204</v>
      </c>
      <c r="AW59" s="72">
        <f t="shared" si="78"/>
        <v>1.4293125520059653</v>
      </c>
    </row>
    <row r="60" spans="1:49">
      <c r="A60" s="55"/>
      <c r="B60" s="57">
        <f t="shared" si="79"/>
        <v>57</v>
      </c>
      <c r="C60" s="70">
        <f t="shared" si="80"/>
        <v>1.4449545970676034</v>
      </c>
      <c r="D60" s="71">
        <f t="shared" si="44"/>
        <v>82.789800000000113</v>
      </c>
      <c r="E60" s="72">
        <f t="shared" si="45"/>
        <v>-2.0924992690695392</v>
      </c>
      <c r="F60" s="70">
        <f t="shared" si="46"/>
        <v>2.3474713363613917</v>
      </c>
      <c r="G60" s="73">
        <f t="shared" si="47"/>
        <v>-2.0406282814633414E-6</v>
      </c>
      <c r="H60" s="73">
        <f t="shared" si="48"/>
        <v>1.5682013958517871E-6</v>
      </c>
      <c r="I60" s="70">
        <f t="shared" si="49"/>
        <v>1.6966380565221897</v>
      </c>
      <c r="J60" s="70">
        <f t="shared" si="50"/>
        <v>6.3170171633708403</v>
      </c>
      <c r="K60" s="70">
        <f t="shared" si="51"/>
        <v>0.33609871069806996</v>
      </c>
      <c r="L60" s="70">
        <f t="shared" si="52"/>
        <v>0.76481016841478855</v>
      </c>
      <c r="M60" s="70">
        <f t="shared" si="53"/>
        <v>2.0406837744769346</v>
      </c>
      <c r="N60" s="70">
        <f t="shared" si="9"/>
        <v>-0.34404571795474492</v>
      </c>
      <c r="O60" s="70">
        <f t="shared" si="54"/>
        <v>1.1088558863695339</v>
      </c>
      <c r="P60" s="70">
        <f t="shared" si="55"/>
        <v>0.56869554534343281</v>
      </c>
      <c r="Q60" s="73">
        <f t="shared" si="56"/>
        <v>-16.765348786294549</v>
      </c>
      <c r="R60" s="73">
        <f t="shared" si="57"/>
        <v>-15.067455624632554</v>
      </c>
      <c r="S60" s="70">
        <f t="shared" si="58"/>
        <v>8.0603970125546542</v>
      </c>
      <c r="T60" s="70">
        <f t="shared" si="59"/>
        <v>-0.19982864507299022</v>
      </c>
      <c r="U60" s="70">
        <f t="shared" si="60"/>
        <v>8.1384068793276523</v>
      </c>
      <c r="V60" s="72">
        <f t="shared" si="61"/>
        <v>1.4040371113898513</v>
      </c>
      <c r="W60" s="74">
        <f t="shared" si="39"/>
        <v>96.116616953281721</v>
      </c>
      <c r="X60" s="75"/>
      <c r="Y60" s="44">
        <f t="shared" si="40"/>
        <v>1.1009094928961831</v>
      </c>
      <c r="Z60" s="45">
        <f t="shared" si="18"/>
        <v>63.077467568838976</v>
      </c>
      <c r="AA60" s="46">
        <f t="shared" si="41"/>
        <v>63.077467568838976</v>
      </c>
      <c r="AB60" s="47">
        <f t="shared" si="42"/>
        <v>6.1378332461003993E-7</v>
      </c>
      <c r="AC60" s="48">
        <f>(Fx*G60+Fy*H60)/Data!AB60</f>
        <v>93.062885988199781</v>
      </c>
      <c r="AD60" s="118">
        <f t="shared" si="43"/>
        <v>82.789857295779612</v>
      </c>
      <c r="AE60" s="85">
        <f t="shared" si="62"/>
        <v>1.4449555970676033</v>
      </c>
      <c r="AF60" s="72">
        <f t="shared" si="63"/>
        <v>-2.0925013096978207</v>
      </c>
      <c r="AG60" s="75">
        <f t="shared" si="64"/>
        <v>2.3474729045627876</v>
      </c>
      <c r="AH60" s="87" t="s">
        <v>36</v>
      </c>
      <c r="AI60" s="87" t="s">
        <v>36</v>
      </c>
      <c r="AJ60" s="75">
        <f t="shared" si="65"/>
        <v>1.6966370565221898</v>
      </c>
      <c r="AK60" s="75">
        <f t="shared" si="66"/>
        <v>6.3170152834727933</v>
      </c>
      <c r="AL60" s="75">
        <f t="shared" si="67"/>
        <v>0.33609885885976176</v>
      </c>
      <c r="AM60" s="75">
        <f t="shared" si="68"/>
        <v>0.76481063403642147</v>
      </c>
      <c r="AN60" s="75">
        <f t="shared" si="69"/>
        <v>2.04068316069361</v>
      </c>
      <c r="AO60" s="75">
        <f t="shared" si="70"/>
        <v>-0.34404610417142023</v>
      </c>
      <c r="AP60" s="75">
        <f t="shared" si="71"/>
        <v>1.1088567382078416</v>
      </c>
      <c r="AQ60" s="75">
        <f t="shared" si="72"/>
        <v>0.56869585544907064</v>
      </c>
      <c r="AR60" s="88">
        <f t="shared" si="73"/>
        <v>-16.76533283545189</v>
      </c>
      <c r="AS60" s="88">
        <f t="shared" si="74"/>
        <v>-15.067444079445883</v>
      </c>
      <c r="AT60" s="75">
        <f t="shared" si="75"/>
        <v>8.0603970125546542</v>
      </c>
      <c r="AU60" s="75">
        <f t="shared" si="76"/>
        <v>-0.19982864507299022</v>
      </c>
      <c r="AV60" s="75">
        <f t="shared" si="77"/>
        <v>8.1384092855605825</v>
      </c>
      <c r="AW60" s="72">
        <f t="shared" si="78"/>
        <v>1.4040359992129174</v>
      </c>
    </row>
    <row r="61" spans="1:49">
      <c r="A61" s="55"/>
      <c r="B61" s="57">
        <f t="shared" si="79"/>
        <v>58</v>
      </c>
      <c r="C61" s="70">
        <f t="shared" si="80"/>
        <v>1.4676403866850258</v>
      </c>
      <c r="D61" s="71">
        <f t="shared" si="44"/>
        <v>84.089600000000118</v>
      </c>
      <c r="E61" s="72">
        <f t="shared" si="45"/>
        <v>-2.1387909707908195</v>
      </c>
      <c r="F61" s="70">
        <f t="shared" si="46"/>
        <v>2.3828093598923732</v>
      </c>
      <c r="G61" s="73">
        <f t="shared" si="47"/>
        <v>-2.0402597229463026E-6</v>
      </c>
      <c r="H61" s="73">
        <f t="shared" si="48"/>
        <v>1.5472818550854583E-6</v>
      </c>
      <c r="I61" s="70">
        <f t="shared" si="49"/>
        <v>1.6739522669047673</v>
      </c>
      <c r="J61" s="70">
        <f t="shared" si="50"/>
        <v>6.274167332995952</v>
      </c>
      <c r="K61" s="70">
        <f t="shared" si="51"/>
        <v>0.33940545215799922</v>
      </c>
      <c r="L61" s="70">
        <f t="shared" si="52"/>
        <v>0.77537752945736715</v>
      </c>
      <c r="M61" s="70">
        <f t="shared" si="53"/>
        <v>2.0268096719744269</v>
      </c>
      <c r="N61" s="70">
        <f t="shared" si="9"/>
        <v>-0.35285740506965957</v>
      </c>
      <c r="O61" s="70">
        <f t="shared" si="54"/>
        <v>1.1282349345270268</v>
      </c>
      <c r="P61" s="70">
        <f t="shared" si="55"/>
        <v>0.57571342582226503</v>
      </c>
      <c r="Q61" s="73">
        <f t="shared" si="56"/>
        <v>-16.406303091070718</v>
      </c>
      <c r="R61" s="73">
        <f t="shared" si="57"/>
        <v>-14.808549085757175</v>
      </c>
      <c r="S61" s="70">
        <f t="shared" si="58"/>
        <v>8.0603970125546542</v>
      </c>
      <c r="T61" s="70">
        <f t="shared" si="59"/>
        <v>-0.19982864507299022</v>
      </c>
      <c r="U61" s="70">
        <f t="shared" si="60"/>
        <v>8.192949672086506</v>
      </c>
      <c r="V61" s="72">
        <f t="shared" si="61"/>
        <v>1.3788511814198252</v>
      </c>
      <c r="W61" s="74">
        <f t="shared" si="39"/>
        <v>97.629049556251161</v>
      </c>
      <c r="X61" s="75"/>
      <c r="Y61" s="44">
        <f t="shared" si="40"/>
        <v>1.1147835909516897</v>
      </c>
      <c r="Z61" s="45">
        <f t="shared" si="18"/>
        <v>63.872394831970162</v>
      </c>
      <c r="AA61" s="46">
        <f t="shared" si="41"/>
        <v>63.872394831970162</v>
      </c>
      <c r="AB61" s="47">
        <f t="shared" si="42"/>
        <v>6.09336323398324E-7</v>
      </c>
      <c r="AC61" s="48">
        <f>(Fx*G61+Fy*H61)/Data!AB61</f>
        <v>92.12422745255185</v>
      </c>
      <c r="AD61" s="118">
        <f t="shared" si="43"/>
        <v>84.089657295779631</v>
      </c>
      <c r="AE61" s="85">
        <f t="shared" si="62"/>
        <v>1.4676413866850258</v>
      </c>
      <c r="AF61" s="72">
        <f t="shared" si="63"/>
        <v>-2.1387930110505424</v>
      </c>
      <c r="AG61" s="75">
        <f t="shared" si="64"/>
        <v>2.3828109071742283</v>
      </c>
      <c r="AH61" s="87" t="s">
        <v>36</v>
      </c>
      <c r="AI61" s="87" t="s">
        <v>36</v>
      </c>
      <c r="AJ61" s="75">
        <f t="shared" si="65"/>
        <v>1.6739512669047674</v>
      </c>
      <c r="AK61" s="75">
        <f t="shared" si="66"/>
        <v>6.2741654353143996</v>
      </c>
      <c r="AL61" s="75">
        <f t="shared" si="67"/>
        <v>0.33940559549747373</v>
      </c>
      <c r="AM61" s="75">
        <f t="shared" si="68"/>
        <v>0.77537799545421593</v>
      </c>
      <c r="AN61" s="75">
        <f t="shared" si="69"/>
        <v>2.0268090626381037</v>
      </c>
      <c r="AO61" s="75">
        <f t="shared" si="70"/>
        <v>-0.35285779573333631</v>
      </c>
      <c r="AP61" s="75">
        <f t="shared" si="71"/>
        <v>1.1282357911875518</v>
      </c>
      <c r="AQ61" s="75">
        <f t="shared" si="72"/>
        <v>0.57571373440490958</v>
      </c>
      <c r="AR61" s="88">
        <f t="shared" si="73"/>
        <v>-16.406287385584271</v>
      </c>
      <c r="AS61" s="88">
        <f t="shared" si="74"/>
        <v>-14.808537802655328</v>
      </c>
      <c r="AT61" s="75">
        <f t="shared" si="75"/>
        <v>8.0603970125546542</v>
      </c>
      <c r="AU61" s="75">
        <f t="shared" si="76"/>
        <v>-0.19982864507299022</v>
      </c>
      <c r="AV61" s="75">
        <f t="shared" si="77"/>
        <v>8.1929520741575992</v>
      </c>
      <c r="AW61" s="72">
        <f t="shared" si="78"/>
        <v>1.3788500731542124</v>
      </c>
    </row>
    <row r="62" spans="1:49">
      <c r="A62" s="55"/>
      <c r="B62" s="57">
        <f t="shared" si="79"/>
        <v>59</v>
      </c>
      <c r="C62" s="70">
        <f t="shared" si="80"/>
        <v>1.4903261763024482</v>
      </c>
      <c r="D62" s="71">
        <f t="shared" si="44"/>
        <v>85.389400000000123</v>
      </c>
      <c r="E62" s="72">
        <f t="shared" si="45"/>
        <v>-2.1850585401259464</v>
      </c>
      <c r="F62" s="70">
        <f t="shared" si="46"/>
        <v>2.4176765211300224</v>
      </c>
      <c r="G62" s="73">
        <f t="shared" si="47"/>
        <v>-2.0384978984822055E-6</v>
      </c>
      <c r="H62" s="73">
        <f t="shared" si="48"/>
        <v>1.5266985222694984E-6</v>
      </c>
      <c r="I62" s="70">
        <f t="shared" si="49"/>
        <v>1.6512664772873449</v>
      </c>
      <c r="J62" s="70">
        <f t="shared" si="50"/>
        <v>6.2309210367706047</v>
      </c>
      <c r="K62" s="70">
        <f t="shared" si="51"/>
        <v>0.34260115114501222</v>
      </c>
      <c r="L62" s="70">
        <f t="shared" si="52"/>
        <v>0.78595273845517299</v>
      </c>
      <c r="M62" s="70">
        <f t="shared" si="53"/>
        <v>2.0130387639896079</v>
      </c>
      <c r="N62" s="70">
        <f t="shared" si="9"/>
        <v>-0.36177228670226302</v>
      </c>
      <c r="O62" s="70">
        <f t="shared" si="54"/>
        <v>1.1477250251574362</v>
      </c>
      <c r="P62" s="70">
        <f t="shared" si="55"/>
        <v>0.58269577403445016</v>
      </c>
      <c r="Q62" s="73">
        <f t="shared" si="56"/>
        <v>-16.052657608507435</v>
      </c>
      <c r="R62" s="73">
        <f t="shared" si="57"/>
        <v>-14.555400515212368</v>
      </c>
      <c r="S62" s="70">
        <f t="shared" si="58"/>
        <v>8.0603970125546542</v>
      </c>
      <c r="T62" s="70">
        <f t="shared" si="59"/>
        <v>-0.19982864507299022</v>
      </c>
      <c r="U62" s="70">
        <f t="shared" si="60"/>
        <v>8.2473818840912472</v>
      </c>
      <c r="V62" s="72">
        <f t="shared" si="61"/>
        <v>1.3537520601272366</v>
      </c>
      <c r="W62" s="74">
        <f t="shared" si="39"/>
        <v>99.145808575350031</v>
      </c>
      <c r="X62" s="75"/>
      <c r="Y62" s="44">
        <f t="shared" si="40"/>
        <v>1.1285544942851367</v>
      </c>
      <c r="Z62" s="45">
        <f t="shared" si="18"/>
        <v>64.661409473059322</v>
      </c>
      <c r="AA62" s="46">
        <f t="shared" si="41"/>
        <v>64.661409473059322</v>
      </c>
      <c r="AB62" s="47">
        <f t="shared" si="42"/>
        <v>6.0468495144405665E-7</v>
      </c>
      <c r="AC62" s="48">
        <f>(Fx*G62+Fy*H62)/Data!AB62</f>
        <v>91.248070085820871</v>
      </c>
      <c r="AD62" s="118">
        <f t="shared" si="43"/>
        <v>85.389457295779636</v>
      </c>
      <c r="AE62" s="85">
        <f t="shared" si="62"/>
        <v>1.4903271763024482</v>
      </c>
      <c r="AF62" s="72">
        <f t="shared" si="63"/>
        <v>-2.1850605786238448</v>
      </c>
      <c r="AG62" s="75">
        <f t="shared" si="64"/>
        <v>2.4176780478285447</v>
      </c>
      <c r="AH62" s="87" t="s">
        <v>36</v>
      </c>
      <c r="AI62" s="87" t="s">
        <v>36</v>
      </c>
      <c r="AJ62" s="75">
        <f t="shared" si="65"/>
        <v>1.651265477287345</v>
      </c>
      <c r="AK62" s="75">
        <f t="shared" si="66"/>
        <v>6.2309191219224447</v>
      </c>
      <c r="AL62" s="75">
        <f t="shared" si="67"/>
        <v>0.34260128951643187</v>
      </c>
      <c r="AM62" s="75">
        <f t="shared" si="68"/>
        <v>0.78595320476870478</v>
      </c>
      <c r="AN62" s="75">
        <f t="shared" si="69"/>
        <v>2.0130381593046565</v>
      </c>
      <c r="AO62" s="75">
        <f t="shared" si="70"/>
        <v>-0.3617726820173115</v>
      </c>
      <c r="AP62" s="75">
        <f t="shared" si="71"/>
        <v>1.1477258867860158</v>
      </c>
      <c r="AQ62" s="75">
        <f t="shared" si="72"/>
        <v>0.58269608100750825</v>
      </c>
      <c r="AR62" s="88">
        <f t="shared" si="73"/>
        <v>-16.052642134059106</v>
      </c>
      <c r="AS62" s="88">
        <f t="shared" si="74"/>
        <v>-14.555389477961238</v>
      </c>
      <c r="AT62" s="75">
        <f t="shared" si="75"/>
        <v>8.0603970125546542</v>
      </c>
      <c r="AU62" s="75">
        <f t="shared" si="76"/>
        <v>-0.19982864507299022</v>
      </c>
      <c r="AV62" s="75">
        <f t="shared" si="77"/>
        <v>8.2473842805776822</v>
      </c>
      <c r="AW62" s="72">
        <f t="shared" si="78"/>
        <v>1.3537509556028469</v>
      </c>
    </row>
    <row r="63" spans="1:49">
      <c r="A63" s="55"/>
      <c r="B63" s="57">
        <f t="shared" si="79"/>
        <v>60</v>
      </c>
      <c r="C63" s="70">
        <f t="shared" si="80"/>
        <v>1.5130119659198706</v>
      </c>
      <c r="D63" s="71">
        <f t="shared" si="44"/>
        <v>86.689200000000142</v>
      </c>
      <c r="E63" s="72">
        <f t="shared" si="45"/>
        <v>-2.2312701785294369</v>
      </c>
      <c r="F63" s="70">
        <f t="shared" si="46"/>
        <v>2.4520810429614213</v>
      </c>
      <c r="G63" s="73">
        <f t="shared" si="47"/>
        <v>-2.0353258847194411E-6</v>
      </c>
      <c r="H63" s="73">
        <f t="shared" si="48"/>
        <v>1.5065038829753519E-6</v>
      </c>
      <c r="I63" s="70">
        <f t="shared" si="49"/>
        <v>1.6285806876699225</v>
      </c>
      <c r="J63" s="70">
        <f t="shared" si="50"/>
        <v>6.1872924516220813</v>
      </c>
      <c r="K63" s="70">
        <f t="shared" si="51"/>
        <v>0.34568245394531072</v>
      </c>
      <c r="L63" s="70">
        <f t="shared" si="52"/>
        <v>0.79653446798104732</v>
      </c>
      <c r="M63" s="70">
        <f t="shared" si="53"/>
        <v>1.9993757316634351</v>
      </c>
      <c r="N63" s="70">
        <f t="shared" si="9"/>
        <v>-0.3707950439935126</v>
      </c>
      <c r="O63" s="70">
        <f t="shared" si="54"/>
        <v>1.1673295119745597</v>
      </c>
      <c r="P63" s="70">
        <f t="shared" si="55"/>
        <v>0.5896406238344154</v>
      </c>
      <c r="Q63" s="73">
        <f t="shared" si="56"/>
        <v>-15.704107642953089</v>
      </c>
      <c r="R63" s="73">
        <f t="shared" si="57"/>
        <v>-14.307661842316337</v>
      </c>
      <c r="S63" s="70">
        <f t="shared" si="58"/>
        <v>8.0603970125546542</v>
      </c>
      <c r="T63" s="70">
        <f t="shared" si="59"/>
        <v>-0.19982864507299022</v>
      </c>
      <c r="U63" s="70">
        <f t="shared" si="60"/>
        <v>8.3016714031622048</v>
      </c>
      <c r="V63" s="72">
        <f t="shared" si="61"/>
        <v>1.328735850113042</v>
      </c>
      <c r="W63" s="74">
        <f t="shared" si="39"/>
        <v>100.66697351238133</v>
      </c>
      <c r="X63" s="75"/>
      <c r="Y63" s="44">
        <f t="shared" si="40"/>
        <v>1.1422175217515615</v>
      </c>
      <c r="Z63" s="45">
        <f t="shared" si="18"/>
        <v>65.444243282256778</v>
      </c>
      <c r="AA63" s="46">
        <f t="shared" si="41"/>
        <v>65.444243282256778</v>
      </c>
      <c r="AB63" s="47">
        <f t="shared" si="42"/>
        <v>5.9982520350665425E-7</v>
      </c>
      <c r="AC63" s="48">
        <f>(Fx*G63+Fy*H63)/Data!AB63</f>
        <v>90.439947619205356</v>
      </c>
      <c r="AD63" s="118">
        <f t="shared" si="43"/>
        <v>86.68925729577964</v>
      </c>
      <c r="AE63" s="85">
        <f t="shared" si="62"/>
        <v>1.5130129659198706</v>
      </c>
      <c r="AF63" s="72">
        <f t="shared" si="63"/>
        <v>-2.2312722138553216</v>
      </c>
      <c r="AG63" s="75">
        <f t="shared" si="64"/>
        <v>2.4520825494653042</v>
      </c>
      <c r="AH63" s="87" t="s">
        <v>36</v>
      </c>
      <c r="AI63" s="87" t="s">
        <v>36</v>
      </c>
      <c r="AJ63" s="75">
        <f t="shared" si="65"/>
        <v>1.6285796876699226</v>
      </c>
      <c r="AK63" s="75">
        <f t="shared" si="66"/>
        <v>6.1872905202403423</v>
      </c>
      <c r="AL63" s="75">
        <f t="shared" si="67"/>
        <v>0.34568258719883005</v>
      </c>
      <c r="AM63" s="75">
        <f t="shared" si="68"/>
        <v>0.7965349345527315</v>
      </c>
      <c r="AN63" s="75">
        <f t="shared" si="69"/>
        <v>1.9993751318382316</v>
      </c>
      <c r="AO63" s="75">
        <f t="shared" si="70"/>
        <v>-0.37079544416830901</v>
      </c>
      <c r="AP63" s="75">
        <f t="shared" si="71"/>
        <v>1.1673303787210396</v>
      </c>
      <c r="AQ63" s="75">
        <f t="shared" si="72"/>
        <v>0.58964092911112387</v>
      </c>
      <c r="AR63" s="88">
        <f t="shared" si="73"/>
        <v>-15.704092386964986</v>
      </c>
      <c r="AS63" s="88">
        <f t="shared" si="74"/>
        <v>-14.307651036430412</v>
      </c>
      <c r="AT63" s="75">
        <f t="shared" si="75"/>
        <v>8.0603970125546542</v>
      </c>
      <c r="AU63" s="75">
        <f t="shared" si="76"/>
        <v>-0.19982864507299022</v>
      </c>
      <c r="AV63" s="75">
        <f t="shared" si="77"/>
        <v>8.3016737926556576</v>
      </c>
      <c r="AW63" s="72">
        <f t="shared" si="78"/>
        <v>1.3287347491564165</v>
      </c>
    </row>
    <row r="64" spans="1:49">
      <c r="A64" s="55"/>
      <c r="B64" s="57">
        <f t="shared" si="79"/>
        <v>61</v>
      </c>
      <c r="C64" s="70">
        <f t="shared" si="80"/>
        <v>1.535697755537293</v>
      </c>
      <c r="D64" s="71">
        <f t="shared" si="44"/>
        <v>87.989000000000132</v>
      </c>
      <c r="E64" s="72">
        <f t="shared" si="45"/>
        <v>-2.2773936990990675</v>
      </c>
      <c r="F64" s="70">
        <f t="shared" si="46"/>
        <v>2.4860323361126926</v>
      </c>
      <c r="G64" s="73">
        <f t="shared" si="47"/>
        <v>-2.030726363955182E-6</v>
      </c>
      <c r="H64" s="73">
        <f t="shared" si="48"/>
        <v>1.4867501834103791E-6</v>
      </c>
      <c r="I64" s="70">
        <f t="shared" si="49"/>
        <v>1.6058948980525001</v>
      </c>
      <c r="J64" s="70">
        <f t="shared" si="50"/>
        <v>6.1432961255203837</v>
      </c>
      <c r="K64" s="70">
        <f t="shared" si="51"/>
        <v>0.34864591477992679</v>
      </c>
      <c r="L64" s="70">
        <f t="shared" si="52"/>
        <v>0.80712138819903967</v>
      </c>
      <c r="M64" s="70">
        <f t="shared" si="53"/>
        <v>1.9858253506108268</v>
      </c>
      <c r="N64" s="70">
        <f t="shared" si="9"/>
        <v>-0.37993045255832669</v>
      </c>
      <c r="O64" s="70">
        <f t="shared" si="54"/>
        <v>1.1870518407573658</v>
      </c>
      <c r="P64" s="70">
        <f t="shared" si="55"/>
        <v>0.59654600401354374</v>
      </c>
      <c r="Q64" s="73">
        <f t="shared" si="56"/>
        <v>-15.360385772891675</v>
      </c>
      <c r="R64" s="73">
        <f t="shared" si="57"/>
        <v>-14.065022484519806</v>
      </c>
      <c r="S64" s="70">
        <f t="shared" si="58"/>
        <v>8.0603970125546542</v>
      </c>
      <c r="T64" s="70">
        <f t="shared" si="59"/>
        <v>-0.19982864507299022</v>
      </c>
      <c r="U64" s="70">
        <f t="shared" si="60"/>
        <v>8.355786438548046</v>
      </c>
      <c r="V64" s="72">
        <f t="shared" si="61"/>
        <v>1.3037985804627374</v>
      </c>
      <c r="W64" s="74">
        <f t="shared" si="39"/>
        <v>102.19262885400286</v>
      </c>
      <c r="X64" s="75"/>
      <c r="Y64" s="44">
        <f t="shared" si="40"/>
        <v>1.1557678977317223</v>
      </c>
      <c r="Z64" s="45">
        <f t="shared" si="18"/>
        <v>66.220622636735442</v>
      </c>
      <c r="AA64" s="46">
        <f t="shared" si="41"/>
        <v>66.220622636735442</v>
      </c>
      <c r="AB64" s="47">
        <f t="shared" si="42"/>
        <v>5.9475275593356969E-7</v>
      </c>
      <c r="AC64" s="48">
        <f>(Fx*G64+Fy*H64)/Data!AB64</f>
        <v>89.705725708194436</v>
      </c>
      <c r="AD64" s="118">
        <f t="shared" si="43"/>
        <v>87.989057295779645</v>
      </c>
      <c r="AE64" s="85">
        <f t="shared" si="62"/>
        <v>1.535698755537293</v>
      </c>
      <c r="AF64" s="72">
        <f t="shared" si="63"/>
        <v>-2.2773957298254315</v>
      </c>
      <c r="AG64" s="75">
        <f t="shared" si="64"/>
        <v>2.486033822862876</v>
      </c>
      <c r="AH64" s="87" t="s">
        <v>36</v>
      </c>
      <c r="AI64" s="87" t="s">
        <v>36</v>
      </c>
      <c r="AJ64" s="75">
        <f t="shared" si="65"/>
        <v>1.6058938980525002</v>
      </c>
      <c r="AK64" s="75">
        <f t="shared" si="66"/>
        <v>6.1432941782546751</v>
      </c>
      <c r="AL64" s="75">
        <f t="shared" si="67"/>
        <v>0.34864604276159117</v>
      </c>
      <c r="AM64" s="75">
        <f t="shared" si="68"/>
        <v>0.80712185497013111</v>
      </c>
      <c r="AN64" s="75">
        <f t="shared" si="69"/>
        <v>1.9858247558580708</v>
      </c>
      <c r="AO64" s="75">
        <f t="shared" si="70"/>
        <v>-0.37993085780557068</v>
      </c>
      <c r="AP64" s="75">
        <f t="shared" si="71"/>
        <v>1.1870527127757013</v>
      </c>
      <c r="AQ64" s="75">
        <f t="shared" si="72"/>
        <v>0.59654630750686588</v>
      </c>
      <c r="AR64" s="88">
        <f t="shared" si="73"/>
        <v>-15.360370724335969</v>
      </c>
      <c r="AS64" s="88">
        <f t="shared" si="74"/>
        <v>-14.065011897074111</v>
      </c>
      <c r="AT64" s="75">
        <f t="shared" si="75"/>
        <v>8.0603970125546542</v>
      </c>
      <c r="AU64" s="75">
        <f t="shared" si="76"/>
        <v>-0.19982864507299022</v>
      </c>
      <c r="AV64" s="75">
        <f t="shared" si="77"/>
        <v>8.3557888196540269</v>
      </c>
      <c r="AW64" s="72">
        <f t="shared" si="78"/>
        <v>1.3037974828972911</v>
      </c>
    </row>
    <row r="65" spans="1:49">
      <c r="A65" s="55"/>
      <c r="B65" s="57">
        <f t="shared" si="79"/>
        <v>62</v>
      </c>
      <c r="C65" s="70">
        <f t="shared" si="80"/>
        <v>1.5583835451547154</v>
      </c>
      <c r="D65" s="71">
        <f t="shared" si="44"/>
        <v>89.288800000000151</v>
      </c>
      <c r="E65" s="72">
        <f t="shared" si="45"/>
        <v>-2.3233965169776765</v>
      </c>
      <c r="F65" s="70">
        <f t="shared" si="46"/>
        <v>2.5195409941181182</v>
      </c>
      <c r="G65" s="73">
        <f t="shared" si="47"/>
        <v>-2.0246815601865364E-6</v>
      </c>
      <c r="H65" s="73">
        <f t="shared" si="48"/>
        <v>1.4674894481814249E-6</v>
      </c>
      <c r="I65" s="70">
        <f t="shared" si="49"/>
        <v>1.5832091084350777</v>
      </c>
      <c r="J65" s="70">
        <f t="shared" si="50"/>
        <v>6.0989469879271789</v>
      </c>
      <c r="K65" s="70">
        <f t="shared" si="51"/>
        <v>0.35148799356505878</v>
      </c>
      <c r="L65" s="70">
        <f t="shared" si="52"/>
        <v>0.81771216191125673</v>
      </c>
      <c r="M65" s="70">
        <f t="shared" si="53"/>
        <v>1.9723924981134777</v>
      </c>
      <c r="N65" s="70">
        <f t="shared" si="9"/>
        <v>-0.38918338967840005</v>
      </c>
      <c r="O65" s="70">
        <f t="shared" si="54"/>
        <v>1.2068955515896569</v>
      </c>
      <c r="P65" s="70">
        <f t="shared" si="55"/>
        <v>0.6034099360142241</v>
      </c>
      <c r="Q65" s="73">
        <f t="shared" si="56"/>
        <v>-15.021257806892772</v>
      </c>
      <c r="R65" s="73">
        <f t="shared" si="57"/>
        <v>-13.827205351257446</v>
      </c>
      <c r="S65" s="70">
        <f t="shared" si="58"/>
        <v>8.0603970125546542</v>
      </c>
      <c r="T65" s="70">
        <f t="shared" si="59"/>
        <v>-0.19982864507299022</v>
      </c>
      <c r="U65" s="70">
        <f t="shared" si="60"/>
        <v>8.4096955051708751</v>
      </c>
      <c r="V65" s="72">
        <f t="shared" si="61"/>
        <v>1.2789362117495977</v>
      </c>
      <c r="W65" s="74">
        <f t="shared" si="39"/>
        <v>103.72286406907494</v>
      </c>
      <c r="X65" s="75"/>
      <c r="Y65" s="44">
        <f t="shared" si="40"/>
        <v>1.1692007449392843</v>
      </c>
      <c r="Z65" s="45">
        <f t="shared" si="18"/>
        <v>66.990268088572833</v>
      </c>
      <c r="AA65" s="46">
        <f t="shared" si="41"/>
        <v>66.990268088572833</v>
      </c>
      <c r="AB65" s="47">
        <f t="shared" si="42"/>
        <v>5.8946296888073846E-7</v>
      </c>
      <c r="AC65" s="48">
        <f>(Fx*G65+Fy*H65)/Data!AB65</f>
        <v>89.051641609533149</v>
      </c>
      <c r="AD65" s="118">
        <f t="shared" si="43"/>
        <v>89.288857295779664</v>
      </c>
      <c r="AE65" s="85">
        <f t="shared" si="62"/>
        <v>1.5583845451547154</v>
      </c>
      <c r="AF65" s="72">
        <f t="shared" si="63"/>
        <v>-2.3233985416592366</v>
      </c>
      <c r="AG65" s="75">
        <f t="shared" si="64"/>
        <v>2.5195424616075663</v>
      </c>
      <c r="AH65" s="87" t="s">
        <v>36</v>
      </c>
      <c r="AI65" s="87" t="s">
        <v>36</v>
      </c>
      <c r="AJ65" s="75">
        <f t="shared" si="65"/>
        <v>1.5832081084350778</v>
      </c>
      <c r="AK65" s="75">
        <f t="shared" si="66"/>
        <v>6.0989450254441664</v>
      </c>
      <c r="AL65" s="75">
        <f t="shared" si="67"/>
        <v>0.35148811611670894</v>
      </c>
      <c r="AM65" s="75">
        <f t="shared" si="68"/>
        <v>0.81771262882257534</v>
      </c>
      <c r="AN65" s="75">
        <f t="shared" si="69"/>
        <v>1.9723919086505088</v>
      </c>
      <c r="AO65" s="75">
        <f t="shared" si="70"/>
        <v>-0.38918380021543109</v>
      </c>
      <c r="AP65" s="75">
        <f t="shared" si="71"/>
        <v>1.206896429038006</v>
      </c>
      <c r="AQ65" s="75">
        <f t="shared" si="72"/>
        <v>0.60341023763675017</v>
      </c>
      <c r="AR65" s="88">
        <f t="shared" si="73"/>
        <v>-15.021242956124727</v>
      </c>
      <c r="AS65" s="88">
        <f t="shared" si="74"/>
        <v>-13.827194970722717</v>
      </c>
      <c r="AT65" s="75">
        <f t="shared" si="75"/>
        <v>8.0603970125546542</v>
      </c>
      <c r="AU65" s="75">
        <f t="shared" si="76"/>
        <v>-0.19982864507299022</v>
      </c>
      <c r="AV65" s="75">
        <f t="shared" si="77"/>
        <v>8.4096978765079946</v>
      </c>
      <c r="AW65" s="72">
        <f t="shared" si="78"/>
        <v>1.2789351173958279</v>
      </c>
    </row>
    <row r="66" spans="1:49">
      <c r="A66" s="55"/>
      <c r="B66" s="57">
        <f t="shared" si="79"/>
        <v>63</v>
      </c>
      <c r="C66" s="70">
        <f t="shared" si="80"/>
        <v>1.5810693347721378</v>
      </c>
      <c r="D66" s="71">
        <f t="shared" si="44"/>
        <v>90.588600000000156</v>
      </c>
      <c r="E66" s="72">
        <f t="shared" si="45"/>
        <v>-2.3692456387837799</v>
      </c>
      <c r="F66" s="70">
        <f t="shared" si="46"/>
        <v>2.5526187885031941</v>
      </c>
      <c r="G66" s="73">
        <f t="shared" si="47"/>
        <v>-2.0171732231233364E-6</v>
      </c>
      <c r="H66" s="73">
        <f t="shared" si="48"/>
        <v>1.4487735060519924E-6</v>
      </c>
      <c r="I66" s="70">
        <f t="shared" si="49"/>
        <v>1.5605233188176553</v>
      </c>
      <c r="J66" s="70">
        <f t="shared" si="50"/>
        <v>6.054260360671269</v>
      </c>
      <c r="K66" s="70">
        <f t="shared" si="51"/>
        <v>0.35420505372731426</v>
      </c>
      <c r="L66" s="70">
        <f t="shared" si="52"/>
        <v>0.82830543958322922</v>
      </c>
      <c r="M66" s="70">
        <f t="shared" si="53"/>
        <v>1.9590821602792494</v>
      </c>
      <c r="N66" s="70">
        <f t="shared" si="9"/>
        <v>-0.39855884146159415</v>
      </c>
      <c r="O66" s="70">
        <f t="shared" si="54"/>
        <v>1.2268642810448229</v>
      </c>
      <c r="P66" s="70">
        <f t="shared" si="55"/>
        <v>0.61023043182089087</v>
      </c>
      <c r="Q66" s="73">
        <f t="shared" si="56"/>
        <v>-14.686519228351548</v>
      </c>
      <c r="R66" s="73">
        <f t="shared" si="57"/>
        <v>-13.593963337898325</v>
      </c>
      <c r="S66" s="70">
        <f t="shared" si="58"/>
        <v>8.0603970125546542</v>
      </c>
      <c r="T66" s="70">
        <f t="shared" si="59"/>
        <v>-0.19982864507299022</v>
      </c>
      <c r="U66" s="70">
        <f t="shared" si="60"/>
        <v>8.4633674065616784</v>
      </c>
      <c r="V66" s="72">
        <f t="shared" si="61"/>
        <v>1.2541446404260734</v>
      </c>
      <c r="W66" s="74">
        <f t="shared" si="39"/>
        <v>105.25777361300321</v>
      </c>
      <c r="X66" s="75"/>
      <c r="Y66" s="44">
        <f t="shared" si="40"/>
        <v>1.1825110772614327</v>
      </c>
      <c r="Z66" s="45">
        <f t="shared" si="18"/>
        <v>67.752893954548497</v>
      </c>
      <c r="AA66" s="46">
        <f t="shared" si="41"/>
        <v>67.752893954548497</v>
      </c>
      <c r="AB66" s="47">
        <f t="shared" si="42"/>
        <v>5.839508891991585E-7</v>
      </c>
      <c r="AC66" s="48">
        <f>(Fx*G66+Fy*H66)/Data!AB66</f>
        <v>88.484349326530648</v>
      </c>
      <c r="AD66" s="118">
        <f t="shared" si="43"/>
        <v>90.588657295779655</v>
      </c>
      <c r="AE66" s="85">
        <f t="shared" si="62"/>
        <v>1.5810703347721378</v>
      </c>
      <c r="AF66" s="72">
        <f t="shared" si="63"/>
        <v>-2.369247655957003</v>
      </c>
      <c r="AG66" s="75">
        <f t="shared" si="64"/>
        <v>2.5526202372767002</v>
      </c>
      <c r="AH66" s="87" t="s">
        <v>36</v>
      </c>
      <c r="AI66" s="87" t="s">
        <v>36</v>
      </c>
      <c r="AJ66" s="75">
        <f t="shared" si="65"/>
        <v>1.5605223188176554</v>
      </c>
      <c r="AK66" s="75">
        <f t="shared" si="66"/>
        <v>6.0542583836551582</v>
      </c>
      <c r="AL66" s="75">
        <f t="shared" si="67"/>
        <v>0.35420517068649082</v>
      </c>
      <c r="AM66" s="75">
        <f t="shared" si="68"/>
        <v>0.82830590657494185</v>
      </c>
      <c r="AN66" s="75">
        <f t="shared" si="69"/>
        <v>1.9590815763283602</v>
      </c>
      <c r="AO66" s="75">
        <f t="shared" si="70"/>
        <v>-0.39855925751070487</v>
      </c>
      <c r="AP66" s="75">
        <f t="shared" si="71"/>
        <v>1.2268651640856467</v>
      </c>
      <c r="AQ66" s="75">
        <f t="shared" si="72"/>
        <v>0.61023073148475082</v>
      </c>
      <c r="AR66" s="88">
        <f t="shared" si="73"/>
        <v>-14.686504566962601</v>
      </c>
      <c r="AS66" s="88">
        <f t="shared" si="74"/>
        <v>-13.593953153996299</v>
      </c>
      <c r="AT66" s="75">
        <f t="shared" si="75"/>
        <v>8.0603970125546542</v>
      </c>
      <c r="AU66" s="75">
        <f t="shared" si="76"/>
        <v>-0.19982864507299022</v>
      </c>
      <c r="AV66" s="75">
        <f t="shared" si="77"/>
        <v>8.4633697667608825</v>
      </c>
      <c r="AW66" s="72">
        <f t="shared" si="78"/>
        <v>1.2541435491017381</v>
      </c>
    </row>
    <row r="67" spans="1:49">
      <c r="A67" s="55"/>
      <c r="B67" s="57">
        <f t="shared" si="79"/>
        <v>64</v>
      </c>
      <c r="C67" s="70">
        <f t="shared" si="80"/>
        <v>1.6037551243895602</v>
      </c>
      <c r="D67" s="71">
        <f t="shared" si="44"/>
        <v>91.888400000000161</v>
      </c>
      <c r="E67" s="72">
        <f t="shared" si="45"/>
        <v>-2.4149076510151195</v>
      </c>
      <c r="F67" s="70">
        <f t="shared" si="46"/>
        <v>2.5852786639946967</v>
      </c>
      <c r="G67" s="73">
        <f t="shared" si="47"/>
        <v>-2.0081825660156483E-6</v>
      </c>
      <c r="H67" s="73">
        <f t="shared" si="48"/>
        <v>1.4306539406483409E-6</v>
      </c>
      <c r="I67" s="70">
        <f t="shared" si="49"/>
        <v>1.5378375292002329</v>
      </c>
      <c r="J67" s="70">
        <f t="shared" si="50"/>
        <v>6.0092519692586048</v>
      </c>
      <c r="K67" s="70">
        <f t="shared" si="51"/>
        <v>0.35679336009044738</v>
      </c>
      <c r="L67" s="70">
        <f t="shared" si="52"/>
        <v>0.83889985432304537</v>
      </c>
      <c r="M67" s="70">
        <f t="shared" si="53"/>
        <v>1.9458994391763005</v>
      </c>
      <c r="N67" s="70">
        <f t="shared" si="9"/>
        <v>-0.40806190997606762</v>
      </c>
      <c r="O67" s="70">
        <f t="shared" si="54"/>
        <v>1.2469617642991124</v>
      </c>
      <c r="P67" s="70">
        <f t="shared" si="55"/>
        <v>0.61700549202631516</v>
      </c>
      <c r="Q67" s="73">
        <f t="shared" si="56"/>
        <v>-14.355992059875229</v>
      </c>
      <c r="R67" s="73">
        <f t="shared" si="57"/>
        <v>-13.365076240761844</v>
      </c>
      <c r="S67" s="70">
        <f t="shared" si="58"/>
        <v>8.0603970125546542</v>
      </c>
      <c r="T67" s="70">
        <f t="shared" si="59"/>
        <v>-0.19982864507299022</v>
      </c>
      <c r="U67" s="70">
        <f t="shared" si="60"/>
        <v>8.5167712165473795</v>
      </c>
      <c r="V67" s="72">
        <f t="shared" si="61"/>
        <v>1.2294197026473088</v>
      </c>
      <c r="W67" s="74">
        <f t="shared" si="39"/>
        <v>106.79745693802671</v>
      </c>
      <c r="X67" s="75"/>
      <c r="Y67" s="44">
        <f t="shared" si="40"/>
        <v>1.1956937926247404</v>
      </c>
      <c r="Z67" s="45">
        <f t="shared" si="18"/>
        <v>68.508207907388311</v>
      </c>
      <c r="AA67" s="46">
        <f t="shared" si="41"/>
        <v>68.508207907388311</v>
      </c>
      <c r="AB67" s="47">
        <f t="shared" si="42"/>
        <v>5.7821124777035493E-7</v>
      </c>
      <c r="AC67" s="48">
        <f>(Fx*G67+Fy*H67)/Data!AB67</f>
        <v>88.010966653974748</v>
      </c>
      <c r="AD67" s="118">
        <f t="shared" si="43"/>
        <v>91.888457295779673</v>
      </c>
      <c r="AE67" s="85">
        <f t="shared" si="62"/>
        <v>1.6037561243895602</v>
      </c>
      <c r="AF67" s="72">
        <f t="shared" si="63"/>
        <v>-2.4149096591976855</v>
      </c>
      <c r="AG67" s="75">
        <f t="shared" si="64"/>
        <v>2.5852800946486374</v>
      </c>
      <c r="AH67" s="87" t="s">
        <v>36</v>
      </c>
      <c r="AI67" s="87" t="s">
        <v>36</v>
      </c>
      <c r="AJ67" s="75">
        <f t="shared" si="65"/>
        <v>1.5378365292002329</v>
      </c>
      <c r="AK67" s="75">
        <f t="shared" si="66"/>
        <v>6.0092499784116518</v>
      </c>
      <c r="AL67" s="75">
        <f t="shared" si="67"/>
        <v>0.3567934712902987</v>
      </c>
      <c r="AM67" s="75">
        <f t="shared" si="68"/>
        <v>0.83890032133444159</v>
      </c>
      <c r="AN67" s="75">
        <f t="shared" si="69"/>
        <v>1.9458988609650527</v>
      </c>
      <c r="AO67" s="75">
        <f t="shared" si="70"/>
        <v>-0.40806233176481976</v>
      </c>
      <c r="AP67" s="75">
        <f t="shared" si="71"/>
        <v>1.2469626530992615</v>
      </c>
      <c r="AQ67" s="75">
        <f t="shared" si="72"/>
        <v>0.61700578964309649</v>
      </c>
      <c r="AR67" s="88">
        <f t="shared" si="73"/>
        <v>-14.355977580563035</v>
      </c>
      <c r="AS67" s="88">
        <f t="shared" si="74"/>
        <v>-13.365066244337564</v>
      </c>
      <c r="AT67" s="75">
        <f t="shared" si="75"/>
        <v>8.0603970125546542</v>
      </c>
      <c r="AU67" s="75">
        <f t="shared" si="76"/>
        <v>-0.19982864507299022</v>
      </c>
      <c r="AV67" s="75">
        <f t="shared" si="77"/>
        <v>8.5167735642510998</v>
      </c>
      <c r="AW67" s="72">
        <f t="shared" si="78"/>
        <v>1.2294186141675869</v>
      </c>
    </row>
    <row r="68" spans="1:49">
      <c r="A68" s="55"/>
      <c r="B68" s="57">
        <f t="shared" si="79"/>
        <v>65</v>
      </c>
      <c r="C68" s="70">
        <f t="shared" si="80"/>
        <v>1.6264409140069827</v>
      </c>
      <c r="D68" s="71">
        <f t="shared" ref="D68:D99" si="81">C68*180/PI()</f>
        <v>93.188200000000165</v>
      </c>
      <c r="E68" s="72">
        <f t="shared" ref="E68:E104" si="82">U68*COS(C68+V68)+a</f>
        <v>-2.4603487073709642</v>
      </c>
      <c r="F68" s="70">
        <f t="shared" ref="F68:F104" si="83">U68*SIN(C68+V68)</f>
        <v>2.6175347335640708</v>
      </c>
      <c r="G68" s="73">
        <f t="shared" ref="G68:G104" si="84">AF68-E68</f>
        <v>-1.9976902070339975E-6</v>
      </c>
      <c r="H68" s="73">
        <f t="shared" ref="H68:H104" si="85">AG68-F68</f>
        <v>1.4131821677310086E-6</v>
      </c>
      <c r="I68" s="70">
        <f t="shared" ref="I68:I104" si="86">PI()-C68</f>
        <v>1.5151517395828105</v>
      </c>
      <c r="J68" s="70">
        <f t="shared" ref="J68:J99" si="87">SQRT(a^2+b^2-2*a*b*COS(I68))</f>
        <v>5.9639379546235913</v>
      </c>
      <c r="K68" s="70">
        <f t="shared" ref="K68:K99" si="88">ACOS((a^2+J68^2-b^2)/(2*a*J68))</f>
        <v>0.35924907685226848</v>
      </c>
      <c r="L68" s="70">
        <f t="shared" ref="L68:L104" si="89">ACOS((d^2+J68^2-cc^2)/(2*d*J68))</f>
        <v>0.84949401678995473</v>
      </c>
      <c r="M68" s="70">
        <f t="shared" ref="M68:M99" si="90">PI()-K68-L68</f>
        <v>1.9328495599475697</v>
      </c>
      <c r="N68" s="70">
        <f t="shared" ref="N68:N89" si="91">IF(ABS(PI()-M68-C68)&lt;0.0000000001,0.0000000001,PI()-M68-C68)</f>
        <v>-0.41769782036475922</v>
      </c>
      <c r="O68" s="70">
        <f t="shared" ref="O68:O104" si="92">ACOS((b^2+J68^2-a^2)/(2*b*J68))</f>
        <v>1.2671918371547135</v>
      </c>
      <c r="P68" s="70">
        <f t="shared" ref="P68:P104" si="93">ACOS((cc^2+J68^2-d^2)/(2*cc*J68))</f>
        <v>0.62373310407304083</v>
      </c>
      <c r="Q68" s="73">
        <f t="shared" ref="Q68:Q104" si="94">a*SIN(C68)/SIN(N68)</f>
        <v>-14.029522089055764</v>
      </c>
      <c r="R68" s="73">
        <f t="shared" ref="R68:R104" si="95">a*SIN(M68)/SIN(N68)</f>
        <v>-13.140348035055784</v>
      </c>
      <c r="S68" s="70">
        <f t="shared" ref="S68:S104" si="96">SQRT(rr^2+s^2)</f>
        <v>8.0603970125546542</v>
      </c>
      <c r="T68" s="70">
        <f t="shared" ref="T68:T99" si="97">ASIN(s/S68)</f>
        <v>-0.19982864507299022</v>
      </c>
      <c r="U68" s="70">
        <f t="shared" ref="U68:U99" si="98">SQRT(S68^2+b^2-2*S68*b*COS(T68+P68+O68))</f>
        <v>8.5698762597429194</v>
      </c>
      <c r="V68" s="72">
        <f t="shared" ref="V68:V99" si="99">ACOS((b^2+U68^2-S68^2)/(2*b*U68))*IF(O68+P68+T68&gt;PI(),-1,1)</f>
        <v>1.2047571775697119</v>
      </c>
      <c r="W68" s="74">
        <f t="shared" si="39"/>
        <v>108.34201850837356</v>
      </c>
      <c r="X68" s="75"/>
      <c r="Y68" s="44">
        <f t="shared" si="40"/>
        <v>1.2087436658806845</v>
      </c>
      <c r="Z68" s="45">
        <f t="shared" ref="Z68:Z88" si="100">IF(ISNA(AA68),0,AA68)</f>
        <v>69.255910568134553</v>
      </c>
      <c r="AA68" s="46">
        <f t="shared" si="41"/>
        <v>69.255910568134553</v>
      </c>
      <c r="AB68" s="47">
        <f t="shared" si="42"/>
        <v>5.7223846128273692E-7</v>
      </c>
      <c r="AC68" s="48">
        <f>(Fx*G68+Fy*H68)/Data!AB68</f>
        <v>87.639139252245315</v>
      </c>
      <c r="AD68" s="118">
        <f t="shared" si="43"/>
        <v>93.188257295779678</v>
      </c>
      <c r="AE68" s="85">
        <f t="shared" ref="AE68:AE104" si="101">C68+domega</f>
        <v>1.6264419140069826</v>
      </c>
      <c r="AF68" s="72">
        <f t="shared" ref="AF68:AF99" si="102">AV68*COS(AE68+AW68)+a</f>
        <v>-2.4603507050611713</v>
      </c>
      <c r="AG68" s="75">
        <f t="shared" ref="AG68:AG104" si="103">AV68*SIN(AE68+AW68)</f>
        <v>2.6175361467462386</v>
      </c>
      <c r="AH68" s="87" t="s">
        <v>36</v>
      </c>
      <c r="AI68" s="87" t="s">
        <v>36</v>
      </c>
      <c r="AJ68" s="75">
        <f t="shared" ref="AJ68:AJ104" si="104">PI()-AE68</f>
        <v>1.5151507395828105</v>
      </c>
      <c r="AK68" s="75">
        <f t="shared" ref="AK68:AK99" si="105">SQRT(a^2+b^2-2*a*b*COS(AJ68))</f>
        <v>5.963935950666631</v>
      </c>
      <c r="AL68" s="75">
        <f t="shared" ref="AL68:AL99" si="106">ACOS((a^2+AK68^2-b^2)/(2*a*AK68))</f>
        <v>0.35924918212146384</v>
      </c>
      <c r="AM68" s="75">
        <f t="shared" ref="AM68:AM104" si="107">ACOS((d^2+AK68^2-cc^2)/(2*d*AK68))</f>
        <v>0.84949448375922065</v>
      </c>
      <c r="AN68" s="75">
        <f t="shared" ref="AN68:AN99" si="108">PI()-AL68-AM68</f>
        <v>1.9328489877091086</v>
      </c>
      <c r="AO68" s="75">
        <f t="shared" ref="AO68:AO99" si="109">IF(ABS(PI()-AN68-AE68)&lt;0.0000000001,0.0000000001,PI()-AN68-AE68)</f>
        <v>-0.41769824812629808</v>
      </c>
      <c r="AP68" s="75">
        <f t="shared" ref="AP68:AP104" si="110">ACOS((b^2+AK68^2-a^2)/(2*b*AK68))</f>
        <v>1.2671927318855181</v>
      </c>
      <c r="AQ68" s="75">
        <f t="shared" ref="AQ68:AQ104" si="111">ACOS((cc^2+AK68^2-d^2)/(2*cc*AK68))</f>
        <v>0.62373339955371498</v>
      </c>
      <c r="AR68" s="88">
        <f t="shared" ref="AR68:AR104" si="112">a*SIN(AE68)/SIN(AO68)</f>
        <v>-14.029507785509105</v>
      </c>
      <c r="AS68" s="88">
        <f t="shared" ref="AS68:AS104" si="113">a*SIN(AN68)/SIN(AO68)</f>
        <v>-13.140338217964821</v>
      </c>
      <c r="AT68" s="75">
        <f t="shared" ref="AT68:AT104" si="114">SQRT(rr^2+s^2)</f>
        <v>8.0603970125546542</v>
      </c>
      <c r="AU68" s="75">
        <f t="shared" ref="AU68:AU99" si="115">ASIN(s/AT68)</f>
        <v>-0.19982864507299022</v>
      </c>
      <c r="AV68" s="75">
        <f t="shared" ref="AV68:AV99" si="116">SQRT(AT68^2+b^2-2*AT68*b*COS(AU68+AQ68+AP68))</f>
        <v>8.5698785936041997</v>
      </c>
      <c r="AW68" s="72">
        <f t="shared" ref="AW68:AW99" si="117">ACOS((b^2+AV68^2-AT68^2)/(2*b*AV68))*IF(AP68+AQ68+AU68&gt;PI(),-1,1)</f>
        <v>1.2047560917473326</v>
      </c>
    </row>
    <row r="69" spans="1:49">
      <c r="A69" s="55"/>
      <c r="B69" s="57">
        <f t="shared" ref="B69:B104" si="118">B68+1</f>
        <v>66</v>
      </c>
      <c r="C69" s="70">
        <f t="shared" ref="C69:C104" si="119">C68+omegainc</f>
        <v>1.6491267036244051</v>
      </c>
      <c r="D69" s="71">
        <f t="shared" si="81"/>
        <v>94.488000000000184</v>
      </c>
      <c r="E69" s="72">
        <f t="shared" si="82"/>
        <v>-2.5055345149414086</v>
      </c>
      <c r="F69" s="70">
        <f t="shared" si="83"/>
        <v>2.6494022731024884</v>
      </c>
      <c r="G69" s="73">
        <f t="shared" si="84"/>
        <v>-1.9856761426240155E-6</v>
      </c>
      <c r="H69" s="73">
        <f t="shared" si="85"/>
        <v>1.3964092953067109E-6</v>
      </c>
      <c r="I69" s="70">
        <f t="shared" si="86"/>
        <v>1.4924659499653881</v>
      </c>
      <c r="J69" s="70">
        <f t="shared" si="87"/>
        <v>5.9183348853268756</v>
      </c>
      <c r="K69" s="70">
        <f t="shared" si="88"/>
        <v>0.36156826567272993</v>
      </c>
      <c r="L69" s="70">
        <f t="shared" si="89"/>
        <v>0.86008651000855163</v>
      </c>
      <c r="M69" s="70">
        <f t="shared" si="90"/>
        <v>1.9199378779085112</v>
      </c>
      <c r="N69" s="70">
        <f t="shared" si="91"/>
        <v>-0.42747192794312316</v>
      </c>
      <c r="O69" s="70">
        <f t="shared" si="92"/>
        <v>1.2875584379516751</v>
      </c>
      <c r="P69" s="70">
        <f t="shared" si="93"/>
        <v>0.63041124067148457</v>
      </c>
      <c r="Q69" s="73">
        <f t="shared" si="94"/>
        <v>-13.70697640636048</v>
      </c>
      <c r="R69" s="73">
        <f t="shared" si="95"/>
        <v>-12.919604466592896</v>
      </c>
      <c r="S69" s="70">
        <f t="shared" si="96"/>
        <v>8.0603970125546542</v>
      </c>
      <c r="T69" s="70">
        <f t="shared" si="97"/>
        <v>-0.19982864507299022</v>
      </c>
      <c r="U69" s="70">
        <f t="shared" si="98"/>
        <v>8.6226520908949684</v>
      </c>
      <c r="V69" s="72">
        <f t="shared" si="99"/>
        <v>1.1801527901664919</v>
      </c>
      <c r="W69" s="74">
        <f t="shared" ref="W69:W104" si="120">(O69+P69)*180/PI()</f>
        <v>109.89156781916992</v>
      </c>
      <c r="X69" s="75"/>
      <c r="Y69" s="44">
        <f t="shared" ref="Y69:Y104" si="121">AL69+AM69</f>
        <v>1.2216553417079186</v>
      </c>
      <c r="Z69" s="45">
        <f t="shared" si="100"/>
        <v>69.995695099476151</v>
      </c>
      <c r="AA69" s="46">
        <f t="shared" ref="AA69:AA103" si="122">IF(W69&lt;165,Y69*180/PI(),NA())</f>
        <v>69.995695099476151</v>
      </c>
      <c r="AB69" s="47">
        <f t="shared" ref="AB69:AB104" si="123">IF(W69&lt;165,(AL69+AM69)-(K69+L69),NA())</f>
        <v>5.6602663711657897E-7</v>
      </c>
      <c r="AC69" s="48">
        <f>(Fx*G69+Fy*H69)/Data!AB69</f>
        <v>87.377094855499152</v>
      </c>
      <c r="AD69" s="118">
        <f t="shared" ref="AD69:AD102" si="124">IF(W69&lt;165,AE69*180/PI(),0)</f>
        <v>94.488057295779669</v>
      </c>
      <c r="AE69" s="85">
        <f t="shared" si="101"/>
        <v>1.649127703624405</v>
      </c>
      <c r="AF69" s="72">
        <f t="shared" si="102"/>
        <v>-2.5055365006175512</v>
      </c>
      <c r="AG69" s="75">
        <f t="shared" si="103"/>
        <v>2.6494036695117837</v>
      </c>
      <c r="AH69" s="87" t="s">
        <v>36</v>
      </c>
      <c r="AI69" s="87" t="s">
        <v>36</v>
      </c>
      <c r="AJ69" s="75">
        <f t="shared" si="104"/>
        <v>1.4924649499653881</v>
      </c>
      <c r="AK69" s="75">
        <f t="shared" si="105"/>
        <v>5.9183328689998662</v>
      </c>
      <c r="AL69" s="75">
        <f t="shared" si="106"/>
        <v>0.36156836483537824</v>
      </c>
      <c r="AM69" s="75">
        <f t="shared" si="107"/>
        <v>0.86008697687254032</v>
      </c>
      <c r="AN69" s="75">
        <f t="shared" si="108"/>
        <v>1.9199373118818748</v>
      </c>
      <c r="AO69" s="75">
        <f t="shared" si="109"/>
        <v>-0.42747236191648663</v>
      </c>
      <c r="AP69" s="75">
        <f t="shared" si="110"/>
        <v>1.2875593387890261</v>
      </c>
      <c r="AQ69" s="75">
        <f t="shared" si="111"/>
        <v>0.63041153392634208</v>
      </c>
      <c r="AR69" s="88">
        <f t="shared" si="112"/>
        <v>-13.706962273157068</v>
      </c>
      <c r="AS69" s="88">
        <f t="shared" si="113"/>
        <v>-12.919594821601592</v>
      </c>
      <c r="AT69" s="75">
        <f t="shared" si="114"/>
        <v>8.0603970125546542</v>
      </c>
      <c r="AU69" s="75">
        <f t="shared" si="115"/>
        <v>-0.19982864507299022</v>
      </c>
      <c r="AV69" s="75">
        <f t="shared" si="116"/>
        <v>8.6226544095765227</v>
      </c>
      <c r="AW69" s="72">
        <f t="shared" si="117"/>
        <v>1.1801517068118534</v>
      </c>
    </row>
    <row r="70" spans="1:49">
      <c r="A70" s="55"/>
      <c r="B70" s="57">
        <f t="shared" si="118"/>
        <v>67</v>
      </c>
      <c r="C70" s="70">
        <f t="shared" si="119"/>
        <v>1.6718124932418275</v>
      </c>
      <c r="D70" s="71">
        <f t="shared" si="81"/>
        <v>95.787800000000175</v>
      </c>
      <c r="E70" s="72">
        <f t="shared" si="82"/>
        <v>-2.5504303192152955</v>
      </c>
      <c r="F70" s="70">
        <f t="shared" si="83"/>
        <v>2.6808977155148317</v>
      </c>
      <c r="G70" s="73">
        <f t="shared" si="84"/>
        <v>-1.9721196746758096E-6</v>
      </c>
      <c r="H70" s="73">
        <f t="shared" si="85"/>
        <v>1.380386229321573E-6</v>
      </c>
      <c r="I70" s="70">
        <f t="shared" si="86"/>
        <v>1.4697801603479657</v>
      </c>
      <c r="J70" s="70">
        <f t="shared" si="87"/>
        <v>5.8724597702029637</v>
      </c>
      <c r="K70" s="70">
        <f t="shared" si="88"/>
        <v>0.36374688389667975</v>
      </c>
      <c r="L70" s="70">
        <f t="shared" si="89"/>
        <v>0.87067588406495233</v>
      </c>
      <c r="M70" s="70">
        <f t="shared" si="90"/>
        <v>1.9071698856281611</v>
      </c>
      <c r="N70" s="70">
        <f t="shared" si="91"/>
        <v>-0.43738972528019548</v>
      </c>
      <c r="O70" s="70">
        <f t="shared" si="92"/>
        <v>1.308065609345147</v>
      </c>
      <c r="P70" s="70">
        <f t="shared" si="93"/>
        <v>0.63703785839781979</v>
      </c>
      <c r="Q70" s="73">
        <f t="shared" si="94"/>
        <v>-13.388241213327595</v>
      </c>
      <c r="R70" s="73">
        <f t="shared" si="95"/>
        <v>-12.702690915606468</v>
      </c>
      <c r="S70" s="70">
        <f t="shared" si="96"/>
        <v>8.0603970125546542</v>
      </c>
      <c r="T70" s="70">
        <f t="shared" si="97"/>
        <v>-0.19982864507299022</v>
      </c>
      <c r="U70" s="70">
        <f t="shared" si="98"/>
        <v>8.6750684731176424</v>
      </c>
      <c r="V70" s="72">
        <f t="shared" si="99"/>
        <v>1.1556022136013027</v>
      </c>
      <c r="W70" s="74">
        <f t="shared" si="120"/>
        <v>111.44621941793287</v>
      </c>
      <c r="X70" s="75"/>
      <c r="Y70" s="44">
        <f t="shared" si="121"/>
        <v>1.2344233275312022</v>
      </c>
      <c r="Z70" s="45">
        <f t="shared" si="100"/>
        <v>70.727246800033171</v>
      </c>
      <c r="AA70" s="46">
        <f t="shared" si="122"/>
        <v>70.727246800033171</v>
      </c>
      <c r="AB70" s="47">
        <f t="shared" si="123"/>
        <v>5.5956957023539644E-7</v>
      </c>
      <c r="AC70" s="48">
        <f>(Fx*G70+Fy*H70)/Data!AB70</f>
        <v>87.233729702276861</v>
      </c>
      <c r="AD70" s="118">
        <f t="shared" si="124"/>
        <v>95.787857295779688</v>
      </c>
      <c r="AE70" s="85">
        <f t="shared" si="101"/>
        <v>1.6718134932418274</v>
      </c>
      <c r="AF70" s="72">
        <f t="shared" si="102"/>
        <v>-2.5504322913349702</v>
      </c>
      <c r="AG70" s="75">
        <f t="shared" si="103"/>
        <v>2.680899095901061</v>
      </c>
      <c r="AH70" s="87" t="s">
        <v>36</v>
      </c>
      <c r="AI70" s="87" t="s">
        <v>36</v>
      </c>
      <c r="AJ70" s="75">
        <f t="shared" si="104"/>
        <v>1.4697791603479657</v>
      </c>
      <c r="AK70" s="75">
        <f t="shared" si="105"/>
        <v>5.8724577422655573</v>
      </c>
      <c r="AL70" s="75">
        <f t="shared" si="106"/>
        <v>0.36374697677225654</v>
      </c>
      <c r="AM70" s="75">
        <f t="shared" si="107"/>
        <v>0.87067635075894578</v>
      </c>
      <c r="AN70" s="75">
        <f t="shared" si="108"/>
        <v>1.9071693260585905</v>
      </c>
      <c r="AO70" s="75">
        <f t="shared" si="109"/>
        <v>-0.43739016571062472</v>
      </c>
      <c r="AP70" s="75">
        <f t="shared" si="110"/>
        <v>1.3080665164695713</v>
      </c>
      <c r="AQ70" s="75">
        <f t="shared" si="111"/>
        <v>0.63703814933641167</v>
      </c>
      <c r="AR70" s="88">
        <f t="shared" si="112"/>
        <v>-13.388227245842909</v>
      </c>
      <c r="AS70" s="88">
        <f t="shared" si="113"/>
        <v>-12.702681436303264</v>
      </c>
      <c r="AT70" s="75">
        <f t="shared" si="114"/>
        <v>8.0603970125546542</v>
      </c>
      <c r="AU70" s="75">
        <f t="shared" si="115"/>
        <v>-0.19982864507299022</v>
      </c>
      <c r="AV70" s="75">
        <f t="shared" si="116"/>
        <v>8.675070775290882</v>
      </c>
      <c r="AW70" s="72">
        <f t="shared" si="117"/>
        <v>1.1556011325225615</v>
      </c>
    </row>
    <row r="71" spans="1:49">
      <c r="A71" s="55"/>
      <c r="B71" s="57">
        <f t="shared" si="118"/>
        <v>68</v>
      </c>
      <c r="C71" s="70">
        <f t="shared" si="119"/>
        <v>1.6944982828592499</v>
      </c>
      <c r="D71" s="71">
        <f t="shared" si="81"/>
        <v>97.087600000000194</v>
      </c>
      <c r="E71" s="72">
        <f t="shared" si="82"/>
        <v>-2.5950008878624002</v>
      </c>
      <c r="F71" s="70">
        <f t="shared" si="83"/>
        <v>2.7120386440081381</v>
      </c>
      <c r="G71" s="73">
        <f t="shared" si="84"/>
        <v>-1.9569993625623283E-6</v>
      </c>
      <c r="H71" s="73">
        <f t="shared" si="85"/>
        <v>1.3651634693800929E-6</v>
      </c>
      <c r="I71" s="70">
        <f t="shared" si="86"/>
        <v>1.4470943707305433</v>
      </c>
      <c r="J71" s="70">
        <f t="shared" si="87"/>
        <v>5.8263300714588189</v>
      </c>
      <c r="K71" s="70">
        <f t="shared" si="88"/>
        <v>0.36578078293756522</v>
      </c>
      <c r="L71" s="70">
        <f t="shared" si="89"/>
        <v>0.88126065066163728</v>
      </c>
      <c r="M71" s="70">
        <f t="shared" si="90"/>
        <v>1.8945512199905905</v>
      </c>
      <c r="N71" s="70">
        <f t="shared" si="91"/>
        <v>-0.44745684926004725</v>
      </c>
      <c r="O71" s="70">
        <f t="shared" si="92"/>
        <v>1.3287174999216846</v>
      </c>
      <c r="P71" s="70">
        <f t="shared" si="93"/>
        <v>0.64361089647636982</v>
      </c>
      <c r="Q71" s="73">
        <f t="shared" si="94"/>
        <v>-13.073219865460185</v>
      </c>
      <c r="R71" s="73">
        <f t="shared" si="95"/>
        <v>-12.489470497201451</v>
      </c>
      <c r="S71" s="70">
        <f t="shared" si="96"/>
        <v>8.0603970125546542</v>
      </c>
      <c r="T71" s="70">
        <f t="shared" si="97"/>
        <v>-0.19982864507299022</v>
      </c>
      <c r="U71" s="70">
        <f t="shared" si="98"/>
        <v>8.7270953550555124</v>
      </c>
      <c r="V71" s="72">
        <f t="shared" si="99"/>
        <v>1.1311010712003613</v>
      </c>
      <c r="W71" s="74">
        <f t="shared" si="120"/>
        <v>113.00609292741417</v>
      </c>
      <c r="X71" s="75"/>
      <c r="Y71" s="44">
        <f t="shared" si="121"/>
        <v>1.2470419864599425</v>
      </c>
      <c r="Z71" s="45">
        <f t="shared" si="100"/>
        <v>71.450242699765056</v>
      </c>
      <c r="AA71" s="46">
        <f t="shared" si="122"/>
        <v>71.450242699765056</v>
      </c>
      <c r="AB71" s="47">
        <f t="shared" si="123"/>
        <v>5.5286073985527651E-7</v>
      </c>
      <c r="AC71" s="48">
        <f>(Fx*G71+Fy*H71)/Data!AB71</f>
        <v>87.218680979931591</v>
      </c>
      <c r="AD71" s="118">
        <f t="shared" si="124"/>
        <v>97.087657295779707</v>
      </c>
      <c r="AE71" s="85">
        <f t="shared" si="101"/>
        <v>1.6944992828592498</v>
      </c>
      <c r="AF71" s="72">
        <f t="shared" si="102"/>
        <v>-2.5950028448617628</v>
      </c>
      <c r="AG71" s="75">
        <f t="shared" si="103"/>
        <v>2.7120400091716075</v>
      </c>
      <c r="AH71" s="87" t="s">
        <v>36</v>
      </c>
      <c r="AI71" s="87" t="s">
        <v>36</v>
      </c>
      <c r="AJ71" s="75">
        <f t="shared" si="104"/>
        <v>1.4470933707305433</v>
      </c>
      <c r="AK71" s="75">
        <f t="shared" si="105"/>
        <v>5.8263280326909479</v>
      </c>
      <c r="AL71" s="75">
        <f t="shared" si="106"/>
        <v>0.36578086934083998</v>
      </c>
      <c r="AM71" s="75">
        <f t="shared" si="107"/>
        <v>0.88126111711910249</v>
      </c>
      <c r="AN71" s="75">
        <f t="shared" si="108"/>
        <v>1.8945506671298504</v>
      </c>
      <c r="AO71" s="75">
        <f t="shared" si="109"/>
        <v>-0.44745729639930709</v>
      </c>
      <c r="AP71" s="75">
        <f t="shared" si="110"/>
        <v>1.3287184135184091</v>
      </c>
      <c r="AQ71" s="75">
        <f t="shared" si="111"/>
        <v>0.64361118500745729</v>
      </c>
      <c r="AR71" s="88">
        <f t="shared" si="112"/>
        <v>-13.073206059785624</v>
      </c>
      <c r="AS71" s="88">
        <f t="shared" si="113"/>
        <v>-12.489461177917583</v>
      </c>
      <c r="AT71" s="75">
        <f t="shared" si="114"/>
        <v>8.0603970125546542</v>
      </c>
      <c r="AU71" s="75">
        <f t="shared" si="115"/>
        <v>-0.19982864507299022</v>
      </c>
      <c r="AV71" s="75">
        <f t="shared" si="116"/>
        <v>8.7270976393994975</v>
      </c>
      <c r="AW71" s="72">
        <f t="shared" si="117"/>
        <v>1.1310999922035201</v>
      </c>
    </row>
    <row r="72" spans="1:49">
      <c r="A72" s="55"/>
      <c r="B72" s="57">
        <f t="shared" si="118"/>
        <v>69</v>
      </c>
      <c r="C72" s="70">
        <f t="shared" si="119"/>
        <v>1.7171840724766723</v>
      </c>
      <c r="D72" s="71">
        <f t="shared" si="81"/>
        <v>98.387400000000184</v>
      </c>
      <c r="E72" s="72">
        <f t="shared" si="82"/>
        <v>-2.6392104932509772</v>
      </c>
      <c r="F72" s="70">
        <f t="shared" si="83"/>
        <v>2.7428437843345295</v>
      </c>
      <c r="G72" s="73">
        <f t="shared" si="84"/>
        <v>-1.9402929751777265E-6</v>
      </c>
      <c r="H72" s="73">
        <f t="shared" si="85"/>
        <v>1.3507912135501954E-6</v>
      </c>
      <c r="I72" s="70">
        <f t="shared" si="86"/>
        <v>1.4244085811131209</v>
      </c>
      <c r="J72" s="70">
        <f t="shared" si="87"/>
        <v>5.7799637182220298</v>
      </c>
      <c r="K72" s="70">
        <f t="shared" si="88"/>
        <v>0.36766570685135047</v>
      </c>
      <c r="L72" s="70">
        <f t="shared" si="89"/>
        <v>0.89183927750785663</v>
      </c>
      <c r="M72" s="70">
        <f t="shared" si="90"/>
        <v>1.8820876692305859</v>
      </c>
      <c r="N72" s="70">
        <f t="shared" si="91"/>
        <v>-0.45767908811746505</v>
      </c>
      <c r="O72" s="70">
        <f t="shared" si="92"/>
        <v>1.3495183656253211</v>
      </c>
      <c r="P72" s="70">
        <f t="shared" si="93"/>
        <v>0.65012827575281906</v>
      </c>
      <c r="Q72" s="73">
        <f t="shared" si="94"/>
        <v>-12.761831119396133</v>
      </c>
      <c r="R72" s="73">
        <f t="shared" si="95"/>
        <v>-12.279822368172313</v>
      </c>
      <c r="S72" s="70">
        <f t="shared" si="96"/>
        <v>8.0603970125546542</v>
      </c>
      <c r="T72" s="70">
        <f t="shared" si="97"/>
        <v>-0.19982864507299022</v>
      </c>
      <c r="U72" s="70">
        <f t="shared" si="98"/>
        <v>8.7787028470047765</v>
      </c>
      <c r="V72" s="72">
        <f t="shared" si="99"/>
        <v>1.1066449380629833</v>
      </c>
      <c r="W72" s="74">
        <f t="shared" si="120"/>
        <v>114.57131306847752</v>
      </c>
      <c r="X72" s="75"/>
      <c r="Y72" s="44">
        <f t="shared" si="121"/>
        <v>1.2595055302525318</v>
      </c>
      <c r="Z72" s="45">
        <f t="shared" si="100"/>
        <v>72.164351156856895</v>
      </c>
      <c r="AA72" s="46">
        <f t="shared" si="122"/>
        <v>72.164351156856895</v>
      </c>
      <c r="AB72" s="47">
        <f t="shared" si="123"/>
        <v>5.4589332454391126E-7</v>
      </c>
      <c r="AC72" s="48">
        <f>(Fx*G72+Fy*H72)/Data!AB72</f>
        <v>87.342436318110359</v>
      </c>
      <c r="AD72" s="118">
        <f t="shared" si="124"/>
        <v>98.387457295779697</v>
      </c>
      <c r="AE72" s="85">
        <f t="shared" si="101"/>
        <v>1.7171850724766722</v>
      </c>
      <c r="AF72" s="72">
        <f t="shared" si="102"/>
        <v>-2.6392124335439524</v>
      </c>
      <c r="AG72" s="75">
        <f t="shared" si="103"/>
        <v>2.742845135125743</v>
      </c>
      <c r="AH72" s="87" t="s">
        <v>36</v>
      </c>
      <c r="AI72" s="87" t="s">
        <v>36</v>
      </c>
      <c r="AJ72" s="75">
        <f t="shared" si="104"/>
        <v>1.4244075811131209</v>
      </c>
      <c r="AK72" s="75">
        <f t="shared" si="105"/>
        <v>5.7799616694245142</v>
      </c>
      <c r="AL72" s="75">
        <f t="shared" si="106"/>
        <v>0.36766578659233651</v>
      </c>
      <c r="AM72" s="75">
        <f t="shared" si="107"/>
        <v>0.89183974366019525</v>
      </c>
      <c r="AN72" s="75">
        <f t="shared" si="108"/>
        <v>1.8820871233372611</v>
      </c>
      <c r="AO72" s="75">
        <f t="shared" si="109"/>
        <v>-0.4576795422241402</v>
      </c>
      <c r="AP72" s="75">
        <f t="shared" si="110"/>
        <v>1.3495192858843355</v>
      </c>
      <c r="AQ72" s="75">
        <f t="shared" si="111"/>
        <v>0.65012856178433487</v>
      </c>
      <c r="AR72" s="88">
        <f t="shared" si="112"/>
        <v>-12.761817472266234</v>
      </c>
      <c r="AS72" s="88">
        <f t="shared" si="113"/>
        <v>-12.279813203911772</v>
      </c>
      <c r="AT72" s="75">
        <f t="shared" si="114"/>
        <v>8.0603970125546542</v>
      </c>
      <c r="AU72" s="75">
        <f t="shared" si="115"/>
        <v>-0.19982864507299022</v>
      </c>
      <c r="AV72" s="75">
        <f t="shared" si="116"/>
        <v>8.7787051122051594</v>
      </c>
      <c r="AW72" s="72">
        <f t="shared" si="117"/>
        <v>1.1066438609519458</v>
      </c>
    </row>
    <row r="73" spans="1:49">
      <c r="A73" s="55"/>
      <c r="B73" s="57">
        <f t="shared" si="118"/>
        <v>70</v>
      </c>
      <c r="C73" s="70">
        <f t="shared" si="119"/>
        <v>1.7398698620940947</v>
      </c>
      <c r="D73" s="71">
        <f t="shared" si="81"/>
        <v>99.687200000000189</v>
      </c>
      <c r="E73" s="72">
        <f t="shared" si="82"/>
        <v>-2.6830228936684088</v>
      </c>
      <c r="F73" s="70">
        <f t="shared" si="83"/>
        <v>2.7733329957323756</v>
      </c>
      <c r="G73" s="73">
        <f t="shared" si="84"/>
        <v>-1.9219774145540214E-6</v>
      </c>
      <c r="H73" s="73">
        <f t="shared" si="85"/>
        <v>1.3373191727339417E-6</v>
      </c>
      <c r="I73" s="70">
        <f t="shared" si="86"/>
        <v>1.4017227914956985</v>
      </c>
      <c r="J73" s="70">
        <f t="shared" si="87"/>
        <v>5.7333791205341065</v>
      </c>
      <c r="K73" s="70">
        <f t="shared" si="88"/>
        <v>0.36939729113321595</v>
      </c>
      <c r="L73" s="70">
        <f t="shared" si="89"/>
        <v>0.90241018252272054</v>
      </c>
      <c r="M73" s="70">
        <f t="shared" si="90"/>
        <v>1.8697851799338565</v>
      </c>
      <c r="N73" s="70">
        <f t="shared" si="91"/>
        <v>-0.46806238843815806</v>
      </c>
      <c r="O73" s="70">
        <f t="shared" si="92"/>
        <v>1.3704725709608789</v>
      </c>
      <c r="P73" s="70">
        <f t="shared" si="93"/>
        <v>0.656587897866166</v>
      </c>
      <c r="Q73" s="73">
        <f t="shared" si="94"/>
        <v>-12.454007558278885</v>
      </c>
      <c r="R73" s="73">
        <f t="shared" si="95"/>
        <v>-12.073640214277921</v>
      </c>
      <c r="S73" s="70">
        <f t="shared" si="96"/>
        <v>8.0603970125546542</v>
      </c>
      <c r="T73" s="70">
        <f t="shared" si="97"/>
        <v>-0.19982864507299022</v>
      </c>
      <c r="U73" s="70">
        <f t="shared" si="98"/>
        <v>8.8298611960203868</v>
      </c>
      <c r="V73" s="72">
        <f t="shared" si="99"/>
        <v>1.0822293423500757</v>
      </c>
      <c r="W73" s="74">
        <f t="shared" si="120"/>
        <v>116.14200968159965</v>
      </c>
      <c r="X73" s="75"/>
      <c r="Y73" s="44">
        <f t="shared" si="121"/>
        <v>1.2718080123161251</v>
      </c>
      <c r="Z73" s="45">
        <f t="shared" si="100"/>
        <v>72.8692314566362</v>
      </c>
      <c r="AA73" s="46">
        <f t="shared" si="122"/>
        <v>72.8692314566362</v>
      </c>
      <c r="AB73" s="47">
        <f t="shared" si="123"/>
        <v>5.3866018845383223E-7</v>
      </c>
      <c r="AC73" s="48">
        <f>(Fx*G73+Fy*H73)/Data!AB73</f>
        <v>87.616440516555301</v>
      </c>
      <c r="AD73" s="118">
        <f t="shared" si="124"/>
        <v>99.687257295779702</v>
      </c>
      <c r="AE73" s="85">
        <f t="shared" si="101"/>
        <v>1.7398708620940946</v>
      </c>
      <c r="AF73" s="72">
        <f t="shared" si="102"/>
        <v>-2.6830248156458234</v>
      </c>
      <c r="AG73" s="75">
        <f t="shared" si="103"/>
        <v>2.7733343330515483</v>
      </c>
      <c r="AH73" s="87" t="s">
        <v>36</v>
      </c>
      <c r="AI73" s="87" t="s">
        <v>36</v>
      </c>
      <c r="AJ73" s="75">
        <f t="shared" si="104"/>
        <v>1.4017217914956985</v>
      </c>
      <c r="AK73" s="75">
        <f t="shared" si="105"/>
        <v>5.7333770625292804</v>
      </c>
      <c r="AL73" s="75">
        <f t="shared" si="106"/>
        <v>0.36939736401711598</v>
      </c>
      <c r="AM73" s="75">
        <f t="shared" si="107"/>
        <v>0.90241064829900908</v>
      </c>
      <c r="AN73" s="75">
        <f t="shared" si="108"/>
        <v>1.8697846412736678</v>
      </c>
      <c r="AO73" s="75">
        <f t="shared" si="109"/>
        <v>-0.4680628497779693</v>
      </c>
      <c r="AP73" s="75">
        <f t="shared" si="110"/>
        <v>1.3704734980769788</v>
      </c>
      <c r="AQ73" s="75">
        <f t="shared" si="111"/>
        <v>0.65658818130517915</v>
      </c>
      <c r="AR73" s="88">
        <f t="shared" si="112"/>
        <v>-12.453994067005256</v>
      </c>
      <c r="AS73" s="88">
        <f t="shared" si="113"/>
        <v>-12.07363120065412</v>
      </c>
      <c r="AT73" s="75">
        <f t="shared" si="114"/>
        <v>8.0603970125546542</v>
      </c>
      <c r="AU73" s="75">
        <f t="shared" si="115"/>
        <v>-0.19982864507299022</v>
      </c>
      <c r="AV73" s="75">
        <f t="shared" si="116"/>
        <v>8.8298634407682766</v>
      </c>
      <c r="AW73" s="72">
        <f t="shared" si="117"/>
        <v>1.0822282669267052</v>
      </c>
    </row>
    <row r="74" spans="1:49">
      <c r="A74" s="55"/>
      <c r="B74" s="57">
        <f t="shared" si="118"/>
        <v>71</v>
      </c>
      <c r="C74" s="70">
        <f t="shared" si="119"/>
        <v>1.7625556517115171</v>
      </c>
      <c r="D74" s="71">
        <f t="shared" si="81"/>
        <v>100.98700000000021</v>
      </c>
      <c r="E74" s="72">
        <f t="shared" si="82"/>
        <v>-2.7264013132207046</v>
      </c>
      <c r="F74" s="70">
        <f t="shared" si="83"/>
        <v>2.803527260290017</v>
      </c>
      <c r="G74" s="73">
        <f t="shared" si="84"/>
        <v>-1.9020286714521717E-6</v>
      </c>
      <c r="H74" s="73">
        <f t="shared" si="85"/>
        <v>1.324796623070057E-6</v>
      </c>
      <c r="I74" s="70">
        <f t="shared" si="86"/>
        <v>1.379037001878276</v>
      </c>
      <c r="J74" s="70">
        <f t="shared" si="87"/>
        <v>5.6865951837810114</v>
      </c>
      <c r="K74" s="70">
        <f t="shared" si="88"/>
        <v>0.37097106177312877</v>
      </c>
      <c r="L74" s="70">
        <f t="shared" si="89"/>
        <v>0.91297172782830927</v>
      </c>
      <c r="M74" s="70">
        <f t="shared" si="90"/>
        <v>1.857649863988355</v>
      </c>
      <c r="N74" s="70">
        <f t="shared" si="91"/>
        <v>-0.47861286211007892</v>
      </c>
      <c r="O74" s="70">
        <f t="shared" si="92"/>
        <v>1.3915845899383879</v>
      </c>
      <c r="P74" s="70">
        <f t="shared" si="93"/>
        <v>0.66298764462890825</v>
      </c>
      <c r="Q74" s="73">
        <f t="shared" si="94"/>
        <v>-12.149694172906635</v>
      </c>
      <c r="R74" s="73">
        <f t="shared" si="95"/>
        <v>-11.870830895728879</v>
      </c>
      <c r="S74" s="70">
        <f t="shared" si="96"/>
        <v>8.0603970125546542</v>
      </c>
      <c r="T74" s="70">
        <f t="shared" si="97"/>
        <v>-0.19982864507299022</v>
      </c>
      <c r="U74" s="70">
        <f t="shared" si="98"/>
        <v>8.8805407600346538</v>
      </c>
      <c r="V74" s="72">
        <f t="shared" si="99"/>
        <v>1.057849766290075</v>
      </c>
      <c r="W74" s="74">
        <f t="shared" si="120"/>
        <v>117.71831774546865</v>
      </c>
      <c r="X74" s="75"/>
      <c r="Y74" s="44">
        <f t="shared" si="121"/>
        <v>1.2839433207553301</v>
      </c>
      <c r="Z74" s="45">
        <f t="shared" si="100"/>
        <v>73.564533413292139</v>
      </c>
      <c r="AA74" s="46">
        <f t="shared" si="122"/>
        <v>73.564533413292139</v>
      </c>
      <c r="AB74" s="47">
        <f t="shared" si="123"/>
        <v>5.3115389198055141E-7</v>
      </c>
      <c r="AC74" s="48">
        <f>(Fx*G74+Fy*H74)/Data!AB74</f>
        <v>88.053238284435551</v>
      </c>
      <c r="AD74" s="118">
        <f t="shared" si="124"/>
        <v>100.98705729577971</v>
      </c>
      <c r="AE74" s="85">
        <f t="shared" si="101"/>
        <v>1.762556651711517</v>
      </c>
      <c r="AF74" s="72">
        <f t="shared" si="102"/>
        <v>-2.726403215249376</v>
      </c>
      <c r="AG74" s="75">
        <f t="shared" si="103"/>
        <v>2.80352858508664</v>
      </c>
      <c r="AH74" s="87" t="s">
        <v>36</v>
      </c>
      <c r="AI74" s="87" t="s">
        <v>36</v>
      </c>
      <c r="AJ74" s="75">
        <f t="shared" si="104"/>
        <v>1.3790360018782761</v>
      </c>
      <c r="AK74" s="75">
        <f t="shared" si="105"/>
        <v>5.6865931174133664</v>
      </c>
      <c r="AL74" s="75">
        <f t="shared" si="106"/>
        <v>0.3709711276003016</v>
      </c>
      <c r="AM74" s="75">
        <f t="shared" si="107"/>
        <v>0.91297219315502853</v>
      </c>
      <c r="AN74" s="75">
        <f t="shared" si="108"/>
        <v>1.8576493328344628</v>
      </c>
      <c r="AO74" s="75">
        <f t="shared" si="109"/>
        <v>-0.47861333095618663</v>
      </c>
      <c r="AP74" s="75">
        <f t="shared" si="110"/>
        <v>1.3915855241112154</v>
      </c>
      <c r="AQ74" s="75">
        <f t="shared" si="111"/>
        <v>0.66298792538160523</v>
      </c>
      <c r="AR74" s="88">
        <f t="shared" si="112"/>
        <v>-12.149680835318605</v>
      </c>
      <c r="AS74" s="88">
        <f t="shared" si="113"/>
        <v>-11.870822028908204</v>
      </c>
      <c r="AT74" s="75">
        <f t="shared" si="114"/>
        <v>8.0603970125546542</v>
      </c>
      <c r="AU74" s="75">
        <f t="shared" si="115"/>
        <v>-0.19982864507299022</v>
      </c>
      <c r="AV74" s="75">
        <f t="shared" si="116"/>
        <v>8.880542983025471</v>
      </c>
      <c r="AW74" s="72">
        <f t="shared" si="117"/>
        <v>1.0578486923542234</v>
      </c>
    </row>
    <row r="75" spans="1:49">
      <c r="A75" s="55"/>
      <c r="B75" s="57">
        <f t="shared" si="118"/>
        <v>72</v>
      </c>
      <c r="C75" s="70">
        <f t="shared" si="119"/>
        <v>1.7852414413289395</v>
      </c>
      <c r="D75" s="71">
        <f t="shared" si="81"/>
        <v>102.2868000000002</v>
      </c>
      <c r="E75" s="72">
        <f t="shared" si="82"/>
        <v>-2.7693084203967304</v>
      </c>
      <c r="F75" s="70">
        <f t="shared" si="83"/>
        <v>2.8334486704348754</v>
      </c>
      <c r="G75" s="73">
        <f t="shared" si="84"/>
        <v>-1.8804217649659449E-6</v>
      </c>
      <c r="H75" s="73">
        <f t="shared" si="85"/>
        <v>1.3132721723430052E-6</v>
      </c>
      <c r="I75" s="70">
        <f t="shared" si="86"/>
        <v>1.3563512122608536</v>
      </c>
      <c r="J75" s="70">
        <f t="shared" si="87"/>
        <v>5.6396313235489623</v>
      </c>
      <c r="K75" s="70">
        <f t="shared" si="88"/>
        <v>0.37238243461026621</v>
      </c>
      <c r="L75" s="70">
        <f t="shared" si="89"/>
        <v>0.92352221351041885</v>
      </c>
      <c r="M75" s="70">
        <f t="shared" si="90"/>
        <v>1.8456880054691083</v>
      </c>
      <c r="N75" s="70">
        <f t="shared" si="91"/>
        <v>-0.48933679320825463</v>
      </c>
      <c r="O75" s="70">
        <f t="shared" si="92"/>
        <v>1.4128590067186724</v>
      </c>
      <c r="P75" s="70">
        <f t="shared" si="93"/>
        <v>0.66932537762657696</v>
      </c>
      <c r="Q75" s="73">
        <f t="shared" si="94"/>
        <v>-11.848847079322535</v>
      </c>
      <c r="R75" s="73">
        <f t="shared" si="95"/>
        <v>-11.671313231741966</v>
      </c>
      <c r="S75" s="70">
        <f t="shared" si="96"/>
        <v>8.0603970125546542</v>
      </c>
      <c r="T75" s="70">
        <f t="shared" si="97"/>
        <v>-0.19982864507299022</v>
      </c>
      <c r="U75" s="70">
        <f t="shared" si="98"/>
        <v>8.9307119810120472</v>
      </c>
      <c r="V75" s="72">
        <f t="shared" si="99"/>
        <v>1.0335016469419016</v>
      </c>
      <c r="W75" s="74">
        <f t="shared" si="120"/>
        <v>119.30037739102846</v>
      </c>
      <c r="X75" s="75"/>
      <c r="Y75" s="44">
        <f t="shared" si="121"/>
        <v>1.2959051714873804</v>
      </c>
      <c r="Z75" s="45">
        <f t="shared" si="100"/>
        <v>74.249896975404084</v>
      </c>
      <c r="AA75" s="46">
        <f t="shared" si="122"/>
        <v>74.249896975404084</v>
      </c>
      <c r="AB75" s="47">
        <f t="shared" si="123"/>
        <v>5.2336669531527491E-7</v>
      </c>
      <c r="AC75" s="48">
        <f>(Fx*G75+Fy*H75)/Data!AB75</f>
        <v>88.666617250216731</v>
      </c>
      <c r="AD75" s="118">
        <f t="shared" si="124"/>
        <v>102.28685729577971</v>
      </c>
      <c r="AE75" s="85">
        <f t="shared" si="101"/>
        <v>1.7852424413289394</v>
      </c>
      <c r="AF75" s="72">
        <f t="shared" si="102"/>
        <v>-2.7693103008184954</v>
      </c>
      <c r="AG75" s="75">
        <f t="shared" si="103"/>
        <v>2.8334499837070477</v>
      </c>
      <c r="AH75" s="87" t="s">
        <v>36</v>
      </c>
      <c r="AI75" s="87" t="s">
        <v>36</v>
      </c>
      <c r="AJ75" s="75">
        <f t="shared" si="104"/>
        <v>1.3563502122608537</v>
      </c>
      <c r="AK75" s="75">
        <f t="shared" si="105"/>
        <v>5.6396292496858162</v>
      </c>
      <c r="AL75" s="75">
        <f t="shared" si="106"/>
        <v>0.37238249317620631</v>
      </c>
      <c r="AM75" s="75">
        <f t="shared" si="107"/>
        <v>0.92352267831117407</v>
      </c>
      <c r="AN75" s="75">
        <f t="shared" si="108"/>
        <v>1.8456874821024125</v>
      </c>
      <c r="AO75" s="75">
        <f t="shared" si="109"/>
        <v>-0.48933726984155879</v>
      </c>
      <c r="AP75" s="75">
        <f t="shared" si="110"/>
        <v>1.4128599481527322</v>
      </c>
      <c r="AQ75" s="75">
        <f t="shared" si="111"/>
        <v>0.66932565559824586</v>
      </c>
      <c r="AR75" s="88">
        <f t="shared" si="112"/>
        <v>-11.848833893713412</v>
      </c>
      <c r="AS75" s="88">
        <f t="shared" si="113"/>
        <v>-11.671304508393057</v>
      </c>
      <c r="AT75" s="75">
        <f t="shared" si="114"/>
        <v>8.0603970125546542</v>
      </c>
      <c r="AU75" s="75">
        <f t="shared" si="115"/>
        <v>-0.19982864507299022</v>
      </c>
      <c r="AV75" s="75">
        <f t="shared" si="116"/>
        <v>8.9307141809443067</v>
      </c>
      <c r="AW75" s="72">
        <f t="shared" si="117"/>
        <v>1.0335005742914469</v>
      </c>
    </row>
    <row r="76" spans="1:49">
      <c r="A76" s="55"/>
      <c r="B76" s="57">
        <f t="shared" si="118"/>
        <v>73</v>
      </c>
      <c r="C76" s="70">
        <f t="shared" si="119"/>
        <v>1.8079272309463619</v>
      </c>
      <c r="D76" s="71">
        <f t="shared" si="81"/>
        <v>103.58660000000022</v>
      </c>
      <c r="E76" s="72">
        <f t="shared" si="82"/>
        <v>-2.8117063052948987</v>
      </c>
      <c r="F76" s="70">
        <f t="shared" si="83"/>
        <v>2.8631204142265978</v>
      </c>
      <c r="G76" s="73">
        <f t="shared" si="84"/>
        <v>-1.857130669691287E-6</v>
      </c>
      <c r="H76" s="73">
        <f t="shared" si="85"/>
        <v>1.3027937830756287E-6</v>
      </c>
      <c r="I76" s="70">
        <f t="shared" si="86"/>
        <v>1.3336654226434312</v>
      </c>
      <c r="J76" s="70">
        <f t="shared" si="87"/>
        <v>5.5925074808889761</v>
      </c>
      <c r="K76" s="70">
        <f t="shared" si="88"/>
        <v>0.37362671503039069</v>
      </c>
      <c r="L76" s="70">
        <f t="shared" si="89"/>
        <v>0.93405987112489186</v>
      </c>
      <c r="M76" s="70">
        <f t="shared" si="90"/>
        <v>1.8339060674345107</v>
      </c>
      <c r="N76" s="70">
        <f t="shared" si="91"/>
        <v>-0.50024064479107944</v>
      </c>
      <c r="O76" s="70">
        <f t="shared" si="92"/>
        <v>1.434300515915971</v>
      </c>
      <c r="P76" s="70">
        <f t="shared" si="93"/>
        <v>0.67559893804928028</v>
      </c>
      <c r="Q76" s="73">
        <f t="shared" si="94"/>
        <v>-11.551432356115775</v>
      </c>
      <c r="R76" s="73">
        <f t="shared" si="95"/>
        <v>-11.475016907638233</v>
      </c>
      <c r="S76" s="70">
        <f t="shared" si="96"/>
        <v>8.0603970125546542</v>
      </c>
      <c r="T76" s="70">
        <f t="shared" si="97"/>
        <v>-0.19982864507299022</v>
      </c>
      <c r="U76" s="70">
        <f t="shared" si="98"/>
        <v>8.9803453571651701</v>
      </c>
      <c r="V76" s="72">
        <f t="shared" si="99"/>
        <v>1.0091803767549528</v>
      </c>
      <c r="W76" s="74">
        <f t="shared" si="120"/>
        <v>120.88833390916581</v>
      </c>
      <c r="X76" s="75"/>
      <c r="Y76" s="44">
        <f t="shared" si="121"/>
        <v>1.3076871014458429</v>
      </c>
      <c r="Z76" s="45">
        <f t="shared" si="100"/>
        <v>74.924951836542732</v>
      </c>
      <c r="AA76" s="46">
        <f t="shared" si="122"/>
        <v>74.924951836542732</v>
      </c>
      <c r="AB76" s="47">
        <f t="shared" si="123"/>
        <v>5.1529056044330446E-7</v>
      </c>
      <c r="AC76" s="48">
        <f>(Fx*G76+Fy*H76)/Data!AB76</f>
        <v>89.47180245835186</v>
      </c>
      <c r="AD76" s="118">
        <f t="shared" si="124"/>
        <v>103.58665729577973</v>
      </c>
      <c r="AE76" s="85">
        <f t="shared" si="101"/>
        <v>1.8079282309463618</v>
      </c>
      <c r="AF76" s="72">
        <f t="shared" si="102"/>
        <v>-2.8117081624255684</v>
      </c>
      <c r="AG76" s="75">
        <f t="shared" si="103"/>
        <v>2.8631217170203809</v>
      </c>
      <c r="AH76" s="87" t="s">
        <v>36</v>
      </c>
      <c r="AI76" s="87" t="s">
        <v>36</v>
      </c>
      <c r="AJ76" s="75">
        <f t="shared" si="104"/>
        <v>1.3336644226434313</v>
      </c>
      <c r="AK76" s="75">
        <f t="shared" si="105"/>
        <v>5.5925054004211479</v>
      </c>
      <c r="AL76" s="75">
        <f t="shared" si="106"/>
        <v>0.37362676612572221</v>
      </c>
      <c r="AM76" s="75">
        <f t="shared" si="107"/>
        <v>0.93406033532012067</v>
      </c>
      <c r="AN76" s="75">
        <f t="shared" si="108"/>
        <v>1.8339055521439502</v>
      </c>
      <c r="AO76" s="75">
        <f t="shared" si="109"/>
        <v>-0.50024112950051891</v>
      </c>
      <c r="AP76" s="75">
        <f t="shared" si="110"/>
        <v>1.4343014648206396</v>
      </c>
      <c r="AQ76" s="75">
        <f t="shared" si="111"/>
        <v>0.67559921314431048</v>
      </c>
      <c r="AR76" s="88">
        <f t="shared" si="112"/>
        <v>-11.551419321193956</v>
      </c>
      <c r="AS76" s="88">
        <f t="shared" si="113"/>
        <v>-11.475008324886231</v>
      </c>
      <c r="AT76" s="75">
        <f t="shared" si="114"/>
        <v>8.0603970125546542</v>
      </c>
      <c r="AU76" s="75">
        <f t="shared" si="115"/>
        <v>-0.19982864507299022</v>
      </c>
      <c r="AV76" s="75">
        <f t="shared" si="116"/>
        <v>8.9803475327392412</v>
      </c>
      <c r="AW76" s="72">
        <f t="shared" si="117"/>
        <v>1.0091793051858138</v>
      </c>
    </row>
    <row r="77" spans="1:49">
      <c r="A77" s="55"/>
      <c r="B77" s="57">
        <f t="shared" si="118"/>
        <v>74</v>
      </c>
      <c r="C77" s="70">
        <f t="shared" si="119"/>
        <v>1.8306130205637843</v>
      </c>
      <c r="D77" s="71">
        <f t="shared" si="81"/>
        <v>104.88640000000022</v>
      </c>
      <c r="E77" s="72">
        <f t="shared" si="82"/>
        <v>-2.8535564555243882</v>
      </c>
      <c r="F77" s="70">
        <f t="shared" si="83"/>
        <v>2.8925667581069137</v>
      </c>
      <c r="G77" s="73">
        <f t="shared" si="84"/>
        <v>-1.8321282855282561E-6</v>
      </c>
      <c r="H77" s="73">
        <f t="shared" si="85"/>
        <v>1.2934085451554722E-6</v>
      </c>
      <c r="I77" s="70">
        <f t="shared" si="86"/>
        <v>1.3109796330260088</v>
      </c>
      <c r="J77" s="70">
        <f t="shared" si="87"/>
        <v>5.545244137968262</v>
      </c>
      <c r="K77" s="70">
        <f t="shared" si="88"/>
        <v>0.3746990980547491</v>
      </c>
      <c r="L77" s="70">
        <f t="shared" si="89"/>
        <v>0.94458285692793664</v>
      </c>
      <c r="M77" s="70">
        <f t="shared" si="90"/>
        <v>1.8223106986071076</v>
      </c>
      <c r="N77" s="70">
        <f t="shared" si="91"/>
        <v>-0.51133106558109875</v>
      </c>
      <c r="O77" s="70">
        <f t="shared" si="92"/>
        <v>1.4559139225090347</v>
      </c>
      <c r="P77" s="70">
        <f t="shared" si="93"/>
        <v>0.68180614676952345</v>
      </c>
      <c r="Q77" s="73">
        <f t="shared" si="94"/>
        <v>-11.257424986916925</v>
      </c>
      <c r="R77" s="73">
        <f t="shared" si="95"/>
        <v>-11.281881490191388</v>
      </c>
      <c r="S77" s="70">
        <f t="shared" si="96"/>
        <v>8.0603970125546542</v>
      </c>
      <c r="T77" s="70">
        <f t="shared" si="97"/>
        <v>-0.19982864507299022</v>
      </c>
      <c r="U77" s="70">
        <f t="shared" si="98"/>
        <v>9.0294114142588544</v>
      </c>
      <c r="V77" s="72">
        <f t="shared" si="99"/>
        <v>0.98488130396672946</v>
      </c>
      <c r="W77" s="74">
        <f t="shared" si="120"/>
        <v>122.48233775007533</v>
      </c>
      <c r="X77" s="75"/>
      <c r="Y77" s="44">
        <f t="shared" si="121"/>
        <v>1.3192824618998433</v>
      </c>
      <c r="Z77" s="45">
        <f t="shared" si="100"/>
        <v>75.589317052489861</v>
      </c>
      <c r="AA77" s="46">
        <f t="shared" si="122"/>
        <v>75.589317052489861</v>
      </c>
      <c r="AB77" s="47">
        <f t="shared" si="123"/>
        <v>5.0691715758333089E-7</v>
      </c>
      <c r="AC77" s="48">
        <f>(Fx*G77+Fy*H77)/Data!AB77</f>
        <v>90.485661664702306</v>
      </c>
      <c r="AD77" s="118">
        <f t="shared" si="124"/>
        <v>104.88645729577972</v>
      </c>
      <c r="AE77" s="85">
        <f t="shared" si="101"/>
        <v>1.8306140205637842</v>
      </c>
      <c r="AF77" s="72">
        <f t="shared" si="102"/>
        <v>-2.8535582876526737</v>
      </c>
      <c r="AG77" s="75">
        <f t="shared" si="103"/>
        <v>2.8925680515154588</v>
      </c>
      <c r="AH77" s="87" t="s">
        <v>36</v>
      </c>
      <c r="AI77" s="87" t="s">
        <v>36</v>
      </c>
      <c r="AJ77" s="75">
        <f t="shared" si="104"/>
        <v>1.3109786330260089</v>
      </c>
      <c r="AK77" s="75">
        <f t="shared" si="105"/>
        <v>5.545242051810777</v>
      </c>
      <c r="AL77" s="75">
        <f t="shared" si="106"/>
        <v>0.37469914146523986</v>
      </c>
      <c r="AM77" s="75">
        <f t="shared" si="107"/>
        <v>0.94458332043460347</v>
      </c>
      <c r="AN77" s="75">
        <f t="shared" si="108"/>
        <v>1.8223101916899496</v>
      </c>
      <c r="AO77" s="75">
        <f t="shared" si="109"/>
        <v>-0.51133155866394064</v>
      </c>
      <c r="AP77" s="75">
        <f t="shared" si="110"/>
        <v>1.4559148790985439</v>
      </c>
      <c r="AQ77" s="75">
        <f t="shared" si="111"/>
        <v>0.68180641889141425</v>
      </c>
      <c r="AR77" s="88">
        <f t="shared" si="112"/>
        <v>-11.25741210176148</v>
      </c>
      <c r="AS77" s="88">
        <f t="shared" si="113"/>
        <v>-11.281873045576793</v>
      </c>
      <c r="AT77" s="75">
        <f t="shared" si="114"/>
        <v>8.0603970125546542</v>
      </c>
      <c r="AU77" s="75">
        <f t="shared" si="115"/>
        <v>-0.19982864507299022</v>
      </c>
      <c r="AV77" s="75">
        <f t="shared" si="116"/>
        <v>9.029413564175675</v>
      </c>
      <c r="AW77" s="72">
        <f t="shared" si="117"/>
        <v>0.98488023327288521</v>
      </c>
    </row>
    <row r="78" spans="1:49">
      <c r="A78" s="55"/>
      <c r="B78" s="57">
        <f t="shared" si="118"/>
        <v>75</v>
      </c>
      <c r="C78" s="70">
        <f t="shared" si="119"/>
        <v>1.8532988101812067</v>
      </c>
      <c r="D78" s="71">
        <f t="shared" si="81"/>
        <v>106.18620000000023</v>
      </c>
      <c r="E78" s="72">
        <f t="shared" si="82"/>
        <v>-2.8948197308100623</v>
      </c>
      <c r="F78" s="70">
        <f t="shared" si="83"/>
        <v>2.9218130267294167</v>
      </c>
      <c r="G78" s="73">
        <f t="shared" si="84"/>
        <v>-1.8053863524158942E-6</v>
      </c>
      <c r="H78" s="73">
        <f t="shared" si="85"/>
        <v>1.285162613662294E-6</v>
      </c>
      <c r="I78" s="70">
        <f t="shared" si="86"/>
        <v>1.2882938434085864</v>
      </c>
      <c r="J78" s="70">
        <f t="shared" si="87"/>
        <v>5.4978623340806259</v>
      </c>
      <c r="K78" s="70">
        <f t="shared" si="88"/>
        <v>0.37559466887387982</v>
      </c>
      <c r="L78" s="70">
        <f t="shared" si="89"/>
        <v>0.95508924480942281</v>
      </c>
      <c r="M78" s="70">
        <f t="shared" si="90"/>
        <v>1.8109087399064905</v>
      </c>
      <c r="N78" s="70">
        <f t="shared" si="91"/>
        <v>-0.52261489649790405</v>
      </c>
      <c r="O78" s="70">
        <f t="shared" si="92"/>
        <v>1.4777041413073266</v>
      </c>
      <c r="P78" s="70">
        <f t="shared" si="93"/>
        <v>0.68794480468208519</v>
      </c>
      <c r="Q78" s="73">
        <f t="shared" si="94"/>
        <v>-10.966807895454673</v>
      </c>
      <c r="R78" s="73">
        <f t="shared" si="95"/>
        <v>-11.091855538834286</v>
      </c>
      <c r="S78" s="70">
        <f t="shared" si="96"/>
        <v>8.0603970125546542</v>
      </c>
      <c r="T78" s="70">
        <f t="shared" si="97"/>
        <v>-0.19982864507299022</v>
      </c>
      <c r="U78" s="70">
        <f t="shared" si="98"/>
        <v>9.0778806760326862</v>
      </c>
      <c r="V78" s="72">
        <f t="shared" si="99"/>
        <v>0.96059973287971145</v>
      </c>
      <c r="W78" s="74">
        <f t="shared" si="120"/>
        <v>124.08254451214847</v>
      </c>
      <c r="X78" s="75"/>
      <c r="Y78" s="44">
        <f t="shared" si="121"/>
        <v>1.3306844119211769</v>
      </c>
      <c r="Z78" s="45">
        <f t="shared" si="100"/>
        <v>76.242600666931367</v>
      </c>
      <c r="AA78" s="46">
        <f t="shared" si="122"/>
        <v>76.242600666931367</v>
      </c>
      <c r="AB78" s="47">
        <f t="shared" si="123"/>
        <v>4.9823787429126298E-7</v>
      </c>
      <c r="AC78" s="48">
        <f>(Fx*G78+Fy*H78)/Data!AB78</f>
        <v>91.726967576034568</v>
      </c>
      <c r="AD78" s="118">
        <f t="shared" si="124"/>
        <v>106.18625729577974</v>
      </c>
      <c r="AE78" s="85">
        <f t="shared" si="101"/>
        <v>1.8532998101812066</v>
      </c>
      <c r="AF78" s="72">
        <f t="shared" si="102"/>
        <v>-2.8948215361964147</v>
      </c>
      <c r="AG78" s="75">
        <f t="shared" si="103"/>
        <v>2.9218143118920303</v>
      </c>
      <c r="AH78" s="87" t="s">
        <v>36</v>
      </c>
      <c r="AI78" s="87" t="s">
        <v>36</v>
      </c>
      <c r="AJ78" s="75">
        <f t="shared" si="104"/>
        <v>1.2882928434085865</v>
      </c>
      <c r="AK78" s="75">
        <f t="shared" si="105"/>
        <v>5.4978602431734256</v>
      </c>
      <c r="AL78" s="75">
        <f t="shared" si="106"/>
        <v>0.37559470438047637</v>
      </c>
      <c r="AM78" s="75">
        <f t="shared" si="107"/>
        <v>0.95508970754070044</v>
      </c>
      <c r="AN78" s="75">
        <f t="shared" si="108"/>
        <v>1.8109082416686166</v>
      </c>
      <c r="AO78" s="75">
        <f t="shared" si="109"/>
        <v>-0.52261539826003012</v>
      </c>
      <c r="AP78" s="75">
        <f t="shared" si="110"/>
        <v>1.47770510580073</v>
      </c>
      <c r="AQ78" s="75">
        <f t="shared" si="111"/>
        <v>0.68794507373346669</v>
      </c>
      <c r="AR78" s="88">
        <f t="shared" si="112"/>
        <v>-10.966795159474609</v>
      </c>
      <c r="AS78" s="88">
        <f t="shared" si="113"/>
        <v>-11.09184723027567</v>
      </c>
      <c r="AT78" s="75">
        <f t="shared" si="114"/>
        <v>8.0603970125546542</v>
      </c>
      <c r="AU78" s="75">
        <f t="shared" si="115"/>
        <v>-0.19982864507299022</v>
      </c>
      <c r="AV78" s="75">
        <f t="shared" si="116"/>
        <v>9.0778827989924391</v>
      </c>
      <c r="AW78" s="72">
        <f t="shared" si="117"/>
        <v>0.9605986628532085</v>
      </c>
    </row>
    <row r="79" spans="1:49">
      <c r="A79" s="55"/>
      <c r="B79" s="57">
        <f t="shared" si="118"/>
        <v>76</v>
      </c>
      <c r="C79" s="70">
        <f t="shared" si="119"/>
        <v>1.8759845997986291</v>
      </c>
      <c r="D79" s="71">
        <f t="shared" si="81"/>
        <v>107.48600000000023</v>
      </c>
      <c r="E79" s="72">
        <f t="shared" si="82"/>
        <v>-2.9354563363502697</v>
      </c>
      <c r="F79" s="70">
        <f t="shared" si="83"/>
        <v>2.9508855794613145</v>
      </c>
      <c r="G79" s="73">
        <f t="shared" si="84"/>
        <v>-1.7768754165814471E-6</v>
      </c>
      <c r="H79" s="73">
        <f t="shared" si="85"/>
        <v>1.2781010423346117E-6</v>
      </c>
      <c r="I79" s="70">
        <f t="shared" si="86"/>
        <v>1.265608053791164</v>
      </c>
      <c r="J79" s="70">
        <f t="shared" si="87"/>
        <v>5.4503836819811546</v>
      </c>
      <c r="K79" s="70">
        <f t="shared" si="88"/>
        <v>0.37630840388476394</v>
      </c>
      <c r="L79" s="70">
        <f t="shared" si="89"/>
        <v>0.96557701890893655</v>
      </c>
      <c r="M79" s="70">
        <f t="shared" si="90"/>
        <v>1.7997072307960928</v>
      </c>
      <c r="N79" s="70">
        <f t="shared" si="91"/>
        <v>-0.53409917700492882</v>
      </c>
      <c r="O79" s="70">
        <f t="shared" si="92"/>
        <v>1.4996761959138654</v>
      </c>
      <c r="P79" s="70">
        <f t="shared" si="93"/>
        <v>0.69401269332325222</v>
      </c>
      <c r="Q79" s="73">
        <f t="shared" si="94"/>
        <v>-10.679571062145664</v>
      </c>
      <c r="R79" s="73">
        <f t="shared" si="95"/>
        <v>-10.904895801955032</v>
      </c>
      <c r="S79" s="70">
        <f t="shared" si="96"/>
        <v>8.0603970125546542</v>
      </c>
      <c r="T79" s="70">
        <f t="shared" si="97"/>
        <v>-0.19982864507299022</v>
      </c>
      <c r="U79" s="70">
        <f t="shared" si="98"/>
        <v>9.1257236337774756</v>
      </c>
      <c r="V79" s="72">
        <f t="shared" si="99"/>
        <v>0.93633092406032126</v>
      </c>
      <c r="W79" s="74">
        <f t="shared" si="120"/>
        <v>125.68911491802835</v>
      </c>
      <c r="X79" s="75"/>
      <c r="Y79" s="44">
        <f t="shared" si="121"/>
        <v>1.3418859120375206</v>
      </c>
      <c r="Z79" s="45">
        <f t="shared" si="100"/>
        <v>76.884399347813158</v>
      </c>
      <c r="AA79" s="46">
        <f t="shared" si="122"/>
        <v>76.884399347813158</v>
      </c>
      <c r="AB79" s="47">
        <f t="shared" si="123"/>
        <v>4.8924382012316414E-7</v>
      </c>
      <c r="AC79" s="48">
        <f>(Fx*G79+Fy*H79)/Data!AB79</f>
        <v>93.216701715994262</v>
      </c>
      <c r="AD79" s="118">
        <f t="shared" si="124"/>
        <v>107.48605729577974</v>
      </c>
      <c r="AE79" s="85">
        <f t="shared" si="101"/>
        <v>1.875985599798629</v>
      </c>
      <c r="AF79" s="72">
        <f t="shared" si="102"/>
        <v>-2.9354581132256863</v>
      </c>
      <c r="AG79" s="75">
        <f t="shared" si="103"/>
        <v>2.9508868575623568</v>
      </c>
      <c r="AH79" s="87" t="s">
        <v>36</v>
      </c>
      <c r="AI79" s="87" t="s">
        <v>36</v>
      </c>
      <c r="AJ79" s="75">
        <f t="shared" si="104"/>
        <v>1.2656070537911641</v>
      </c>
      <c r="AK79" s="75">
        <f t="shared" si="105"/>
        <v>5.4503815872898205</v>
      </c>
      <c r="AL79" s="75">
        <f t="shared" si="106"/>
        <v>0.37630843126364555</v>
      </c>
      <c r="AM79" s="75">
        <f t="shared" si="107"/>
        <v>0.96557748077387495</v>
      </c>
      <c r="AN79" s="75">
        <f t="shared" si="108"/>
        <v>1.7997067415522725</v>
      </c>
      <c r="AO79" s="75">
        <f t="shared" si="109"/>
        <v>-0.53409968776110839</v>
      </c>
      <c r="AP79" s="75">
        <f t="shared" si="110"/>
        <v>1.4996771685349832</v>
      </c>
      <c r="AQ79" s="75">
        <f t="shared" si="111"/>
        <v>0.69401295920591899</v>
      </c>
      <c r="AR79" s="88">
        <f t="shared" si="112"/>
        <v>-10.679558475042688</v>
      </c>
      <c r="AS79" s="88">
        <f t="shared" si="113"/>
        <v>-10.904887627715391</v>
      </c>
      <c r="AT79" s="75">
        <f t="shared" si="114"/>
        <v>8.0603970125546542</v>
      </c>
      <c r="AU79" s="75">
        <f t="shared" si="115"/>
        <v>-0.19982864507299022</v>
      </c>
      <c r="AV79" s="75">
        <f t="shared" si="116"/>
        <v>9.1257257284782334</v>
      </c>
      <c r="AW79" s="72">
        <f t="shared" si="117"/>
        <v>0.93632985449128159</v>
      </c>
    </row>
    <row r="80" spans="1:49">
      <c r="A80" s="55"/>
      <c r="B80" s="57">
        <f t="shared" si="118"/>
        <v>77</v>
      </c>
      <c r="C80" s="70">
        <f t="shared" si="119"/>
        <v>1.8986703894160515</v>
      </c>
      <c r="D80" s="71">
        <f t="shared" si="81"/>
        <v>108.78580000000025</v>
      </c>
      <c r="E80" s="72">
        <f t="shared" si="82"/>
        <v>-2.9754257950004019</v>
      </c>
      <c r="F80" s="70">
        <f t="shared" si="83"/>
        <v>2.9798117831151809</v>
      </c>
      <c r="G80" s="73">
        <f t="shared" si="84"/>
        <v>-1.7465647665915185E-6</v>
      </c>
      <c r="H80" s="73">
        <f t="shared" si="85"/>
        <v>1.2722675775123093E-6</v>
      </c>
      <c r="I80" s="70">
        <f t="shared" si="86"/>
        <v>1.2429222641737416</v>
      </c>
      <c r="J80" s="70">
        <f t="shared" si="87"/>
        <v>5.402830384502761</v>
      </c>
      <c r="K80" s="70">
        <f t="shared" si="88"/>
        <v>0.3768351722952068</v>
      </c>
      <c r="L80" s="70">
        <f t="shared" si="89"/>
        <v>0.97604406589538895</v>
      </c>
      <c r="M80" s="70">
        <f t="shared" si="90"/>
        <v>1.7887134153991973</v>
      </c>
      <c r="N80" s="70">
        <f t="shared" si="91"/>
        <v>-0.54579115122545563</v>
      </c>
      <c r="O80" s="70">
        <f t="shared" si="92"/>
        <v>1.5218352171208445</v>
      </c>
      <c r="P80" s="70">
        <f t="shared" si="93"/>
        <v>0.70000757578813144</v>
      </c>
      <c r="Q80" s="73">
        <f t="shared" si="94"/>
        <v>-10.395710712563369</v>
      </c>
      <c r="R80" s="73">
        <f t="shared" si="95"/>
        <v>-10.720966488908761</v>
      </c>
      <c r="S80" s="70">
        <f t="shared" si="96"/>
        <v>8.0603970125546542</v>
      </c>
      <c r="T80" s="70">
        <f t="shared" si="97"/>
        <v>-0.19982864507299022</v>
      </c>
      <c r="U80" s="70">
        <f t="shared" si="98"/>
        <v>9.1729107151083955</v>
      </c>
      <c r="V80" s="72">
        <f t="shared" si="99"/>
        <v>0.91207009450440024</v>
      </c>
      <c r="W80" s="74">
        <f t="shared" si="120"/>
        <v>127.30221477524371</v>
      </c>
      <c r="X80" s="75"/>
      <c r="Y80" s="44">
        <f t="shared" si="121"/>
        <v>1.3528797181164405</v>
      </c>
      <c r="Z80" s="45">
        <f t="shared" si="100"/>
        <v>77.514298036920536</v>
      </c>
      <c r="AA80" s="46">
        <f t="shared" si="122"/>
        <v>77.514298036920536</v>
      </c>
      <c r="AB80" s="47">
        <f t="shared" si="123"/>
        <v>4.799258446208654E-7</v>
      </c>
      <c r="AC80" s="48">
        <f>(Fx*G80+Fy*H80)/Data!AB80</f>
        <v>94.978415015342932</v>
      </c>
      <c r="AD80" s="118">
        <f t="shared" si="124"/>
        <v>108.78585729577975</v>
      </c>
      <c r="AE80" s="85">
        <f t="shared" si="101"/>
        <v>1.8986713894160514</v>
      </c>
      <c r="AF80" s="72">
        <f t="shared" si="102"/>
        <v>-2.9754275415651685</v>
      </c>
      <c r="AG80" s="75">
        <f t="shared" si="103"/>
        <v>2.9798130553827584</v>
      </c>
      <c r="AH80" s="87" t="s">
        <v>36</v>
      </c>
      <c r="AI80" s="87" t="s">
        <v>36</v>
      </c>
      <c r="AJ80" s="75">
        <f t="shared" si="104"/>
        <v>1.2429212641737417</v>
      </c>
      <c r="AK80" s="75">
        <f t="shared" si="105"/>
        <v>5.4028282870192577</v>
      </c>
      <c r="AL80" s="75">
        <f t="shared" si="106"/>
        <v>0.37683519131787468</v>
      </c>
      <c r="AM80" s="75">
        <f t="shared" si="107"/>
        <v>0.97604452679856579</v>
      </c>
      <c r="AN80" s="75">
        <f t="shared" si="108"/>
        <v>1.7887129354733526</v>
      </c>
      <c r="AO80" s="75">
        <f t="shared" si="109"/>
        <v>-0.54579167129961093</v>
      </c>
      <c r="AP80" s="75">
        <f t="shared" si="110"/>
        <v>1.5218361980981767</v>
      </c>
      <c r="AQ80" s="75">
        <f t="shared" si="111"/>
        <v>0.70000783840309022</v>
      </c>
      <c r="AR80" s="88">
        <f t="shared" si="112"/>
        <v>-10.395698274297542</v>
      </c>
      <c r="AS80" s="88">
        <f t="shared" si="113"/>
        <v>-10.720958447564939</v>
      </c>
      <c r="AT80" s="75">
        <f t="shared" si="114"/>
        <v>8.0603970125546542</v>
      </c>
      <c r="AU80" s="75">
        <f t="shared" si="115"/>
        <v>-0.19982864507299022</v>
      </c>
      <c r="AV80" s="75">
        <f t="shared" si="116"/>
        <v>9.1729127802447241</v>
      </c>
      <c r="AW80" s="72">
        <f t="shared" si="117"/>
        <v>0.91206902518102817</v>
      </c>
    </row>
    <row r="81" spans="1:52">
      <c r="A81" s="55"/>
      <c r="B81" s="57">
        <f t="shared" si="118"/>
        <v>78</v>
      </c>
      <c r="C81" s="70">
        <f t="shared" si="119"/>
        <v>1.9213561790334739</v>
      </c>
      <c r="D81" s="71">
        <f t="shared" si="81"/>
        <v>110.08560000000024</v>
      </c>
      <c r="E81" s="72">
        <f t="shared" si="82"/>
        <v>-3.014686918382524</v>
      </c>
      <c r="F81" s="70">
        <f t="shared" si="83"/>
        <v>3.0086199804323699</v>
      </c>
      <c r="G81" s="73">
        <f t="shared" si="84"/>
        <v>-1.7144224084830739E-6</v>
      </c>
      <c r="H81" s="73">
        <f t="shared" si="85"/>
        <v>1.2677044556319572E-6</v>
      </c>
      <c r="I81" s="70">
        <f t="shared" si="86"/>
        <v>1.2202364745563192</v>
      </c>
      <c r="J81" s="70">
        <f t="shared" si="87"/>
        <v>5.3552252514034837</v>
      </c>
      <c r="K81" s="70">
        <f t="shared" si="88"/>
        <v>0.37716973836504319</v>
      </c>
      <c r="L81" s="70">
        <f t="shared" si="89"/>
        <v>0.98648816689230101</v>
      </c>
      <c r="M81" s="70">
        <f t="shared" si="90"/>
        <v>1.777934748332449</v>
      </c>
      <c r="N81" s="70">
        <f t="shared" si="91"/>
        <v>-0.55769827377612979</v>
      </c>
      <c r="O81" s="70">
        <f t="shared" si="92"/>
        <v>1.5441864406684302</v>
      </c>
      <c r="P81" s="70">
        <f t="shared" si="93"/>
        <v>0.70592719796613579</v>
      </c>
      <c r="Q81" s="73">
        <f t="shared" si="94"/>
        <v>-10.115228569307899</v>
      </c>
      <c r="R81" s="73">
        <f t="shared" si="95"/>
        <v>-10.540038609569365</v>
      </c>
      <c r="S81" s="70">
        <f t="shared" si="96"/>
        <v>8.0603970125546542</v>
      </c>
      <c r="T81" s="70">
        <f t="shared" si="97"/>
        <v>-0.19982864507299022</v>
      </c>
      <c r="U81" s="70">
        <f t="shared" si="98"/>
        <v>9.2194122519868031</v>
      </c>
      <c r="V81" s="72">
        <f t="shared" si="99"/>
        <v>0.88781241781554066</v>
      </c>
      <c r="W81" s="74">
        <f t="shared" si="120"/>
        <v>128.92201491858549</v>
      </c>
      <c r="X81" s="75"/>
      <c r="Y81" s="44">
        <f t="shared" si="121"/>
        <v>1.3636583755318887</v>
      </c>
      <c r="Z81" s="45">
        <f t="shared" si="100"/>
        <v>78.131869615643112</v>
      </c>
      <c r="AA81" s="46">
        <f t="shared" si="122"/>
        <v>78.131869615643112</v>
      </c>
      <c r="AB81" s="47">
        <f t="shared" si="123"/>
        <v>4.7027454463943741E-7</v>
      </c>
      <c r="AC81" s="48">
        <f>(Fx*G81+Fy*H81)/Data!AB81</f>
        <v>97.038667075340967</v>
      </c>
      <c r="AD81" s="118">
        <f t="shared" si="124"/>
        <v>110.08565729577975</v>
      </c>
      <c r="AE81" s="85">
        <f t="shared" si="101"/>
        <v>1.9213571790334738</v>
      </c>
      <c r="AF81" s="72">
        <f t="shared" si="102"/>
        <v>-3.0146886328049325</v>
      </c>
      <c r="AG81" s="75">
        <f t="shared" si="103"/>
        <v>3.0086212481368255</v>
      </c>
      <c r="AH81" s="87" t="s">
        <v>36</v>
      </c>
      <c r="AI81" s="87" t="s">
        <v>36</v>
      </c>
      <c r="AJ81" s="75">
        <f t="shared" si="104"/>
        <v>1.2202354745563193</v>
      </c>
      <c r="AK81" s="75">
        <f t="shared" si="105"/>
        <v>5.3552231521469027</v>
      </c>
      <c r="AL81" s="75">
        <f t="shared" si="106"/>
        <v>0.37716974879843024</v>
      </c>
      <c r="AM81" s="75">
        <f t="shared" si="107"/>
        <v>0.98648862673345861</v>
      </c>
      <c r="AN81" s="75">
        <f t="shared" si="108"/>
        <v>1.7779342780579044</v>
      </c>
      <c r="AO81" s="75">
        <f t="shared" si="109"/>
        <v>-0.55769880350158507</v>
      </c>
      <c r="AP81" s="75">
        <f t="shared" si="110"/>
        <v>1.5441874302350431</v>
      </c>
      <c r="AQ81" s="75">
        <f t="shared" si="111"/>
        <v>0.70592745721366723</v>
      </c>
      <c r="AR81" s="88">
        <f t="shared" si="112"/>
        <v>-10.115216280065958</v>
      </c>
      <c r="AS81" s="88">
        <f t="shared" si="113"/>
        <v>-10.54003069998433</v>
      </c>
      <c r="AT81" s="75">
        <f t="shared" si="114"/>
        <v>8.0603970125546542</v>
      </c>
      <c r="AU81" s="75">
        <f t="shared" si="115"/>
        <v>-0.19982864507299022</v>
      </c>
      <c r="AV81" s="75">
        <f t="shared" si="116"/>
        <v>9.2194142862483339</v>
      </c>
      <c r="AW81" s="72">
        <f t="shared" si="117"/>
        <v>0.88781134852413401</v>
      </c>
    </row>
    <row r="82" spans="1:52">
      <c r="A82" s="55"/>
      <c r="B82" s="57">
        <f t="shared" si="118"/>
        <v>79</v>
      </c>
      <c r="C82" s="70">
        <f t="shared" si="119"/>
        <v>1.9440419686508963</v>
      </c>
      <c r="D82" s="71">
        <f t="shared" si="81"/>
        <v>111.38540000000026</v>
      </c>
      <c r="E82" s="72">
        <f t="shared" si="82"/>
        <v>-3.0531977770535947</v>
      </c>
      <c r="F82" s="70">
        <f t="shared" si="83"/>
        <v>3.0373394538009224</v>
      </c>
      <c r="G82" s="73">
        <f t="shared" si="84"/>
        <v>-1.6804149929328105E-6</v>
      </c>
      <c r="H82" s="73">
        <f t="shared" si="85"/>
        <v>1.2644522495719457E-6</v>
      </c>
      <c r="I82" s="70">
        <f t="shared" si="86"/>
        <v>1.1975506849388968</v>
      </c>
      <c r="J82" s="70">
        <f t="shared" si="87"/>
        <v>5.3075917163836763</v>
      </c>
      <c r="K82" s="70">
        <f t="shared" si="88"/>
        <v>0.37730676435973609</v>
      </c>
      <c r="L82" s="70">
        <f t="shared" si="89"/>
        <v>0.99690698903255681</v>
      </c>
      <c r="M82" s="70">
        <f t="shared" si="90"/>
        <v>1.7673789001975</v>
      </c>
      <c r="N82" s="70">
        <f t="shared" si="91"/>
        <v>-0.56982821525860317</v>
      </c>
      <c r="O82" s="70">
        <f t="shared" si="92"/>
        <v>1.5667352042911598</v>
      </c>
      <c r="P82" s="70">
        <f t="shared" si="93"/>
        <v>0.71176929011595391</v>
      </c>
      <c r="Q82" s="73">
        <f t="shared" si="94"/>
        <v>-9.8381311598091266</v>
      </c>
      <c r="R82" s="73">
        <f t="shared" si="95"/>
        <v>-10.362089374279378</v>
      </c>
      <c r="S82" s="70">
        <f t="shared" si="96"/>
        <v>8.0603970125546542</v>
      </c>
      <c r="T82" s="70">
        <f t="shared" si="97"/>
        <v>-0.19982864507299022</v>
      </c>
      <c r="U82" s="70">
        <f t="shared" si="98"/>
        <v>9.2651984480545089</v>
      </c>
      <c r="V82" s="72">
        <f t="shared" si="99"/>
        <v>0.86355302444490589</v>
      </c>
      <c r="W82" s="74">
        <f t="shared" si="120"/>
        <v>130.5486911311171</v>
      </c>
      <c r="X82" s="75"/>
      <c r="Y82" s="44">
        <f t="shared" si="121"/>
        <v>1.3742142136725772</v>
      </c>
      <c r="Z82" s="45">
        <f t="shared" si="100"/>
        <v>78.73667459032778</v>
      </c>
      <c r="AA82" s="46">
        <f t="shared" si="122"/>
        <v>78.73667459032778</v>
      </c>
      <c r="AB82" s="47">
        <f t="shared" si="123"/>
        <v>4.6028028433120483E-7</v>
      </c>
      <c r="AC82" s="48">
        <f>(Fx*G82+Fy*H82)/Data!AB82</f>
        <v>99.427565046805782</v>
      </c>
      <c r="AD82" s="118">
        <f t="shared" si="124"/>
        <v>111.38545729577977</v>
      </c>
      <c r="AE82" s="85">
        <f t="shared" si="101"/>
        <v>1.9440429686508962</v>
      </c>
      <c r="AF82" s="72">
        <f t="shared" si="102"/>
        <v>-3.0531994574685877</v>
      </c>
      <c r="AG82" s="75">
        <f t="shared" si="103"/>
        <v>3.037340718253172</v>
      </c>
      <c r="AH82" s="87" t="s">
        <v>36</v>
      </c>
      <c r="AI82" s="87" t="s">
        <v>36</v>
      </c>
      <c r="AJ82" s="75">
        <f t="shared" si="104"/>
        <v>1.1975496849388969</v>
      </c>
      <c r="AK82" s="75">
        <f t="shared" si="105"/>
        <v>5.307589616400989</v>
      </c>
      <c r="AL82" s="75">
        <f t="shared" si="106"/>
        <v>0.37730676596635715</v>
      </c>
      <c r="AM82" s="75">
        <f t="shared" si="107"/>
        <v>0.9969074477062202</v>
      </c>
      <c r="AN82" s="75">
        <f t="shared" si="108"/>
        <v>1.7673784399172159</v>
      </c>
      <c r="AO82" s="75">
        <f t="shared" si="109"/>
        <v>-0.56982875497831897</v>
      </c>
      <c r="AP82" s="75">
        <f t="shared" si="110"/>
        <v>1.5667362026845393</v>
      </c>
      <c r="AQ82" s="75">
        <f t="shared" si="111"/>
        <v>0.7117695458956893</v>
      </c>
      <c r="AR82" s="88">
        <f t="shared" si="112"/>
        <v>-9.8381190199750961</v>
      </c>
      <c r="AS82" s="88">
        <f t="shared" si="113"/>
        <v>-10.362081595577017</v>
      </c>
      <c r="AT82" s="75">
        <f t="shared" si="114"/>
        <v>8.0603970125546542</v>
      </c>
      <c r="AU82" s="75">
        <f t="shared" si="115"/>
        <v>-0.19982864507299022</v>
      </c>
      <c r="AV82" s="75">
        <f t="shared" si="116"/>
        <v>9.2652004501244907</v>
      </c>
      <c r="AW82" s="72">
        <f t="shared" si="117"/>
        <v>0.86355195496986537</v>
      </c>
    </row>
    <row r="83" spans="1:52">
      <c r="A83" s="55"/>
      <c r="B83" s="57">
        <f t="shared" si="118"/>
        <v>80</v>
      </c>
      <c r="C83" s="70">
        <f t="shared" si="119"/>
        <v>1.9667277582683187</v>
      </c>
      <c r="D83" s="71">
        <f t="shared" si="81"/>
        <v>112.68520000000025</v>
      </c>
      <c r="E83" s="72">
        <f t="shared" si="82"/>
        <v>-3.0909156699015776</v>
      </c>
      <c r="F83" s="70">
        <f t="shared" si="83"/>
        <v>3.06600038365039</v>
      </c>
      <c r="G83" s="73">
        <f t="shared" si="84"/>
        <v>-1.6445078294680116E-6</v>
      </c>
      <c r="H83" s="73">
        <f t="shared" si="85"/>
        <v>1.2625495284801502E-6</v>
      </c>
      <c r="I83" s="70">
        <f t="shared" si="86"/>
        <v>1.1748648953214744</v>
      </c>
      <c r="J83" s="70">
        <f t="shared" si="87"/>
        <v>5.2599538542013464</v>
      </c>
      <c r="K83" s="70">
        <f t="shared" si="88"/>
        <v>0.37724081429820422</v>
      </c>
      <c r="L83" s="70">
        <f t="shared" si="89"/>
        <v>1.0072980766285347</v>
      </c>
      <c r="M83" s="70">
        <f t="shared" si="90"/>
        <v>1.757053762663054</v>
      </c>
      <c r="N83" s="70">
        <f t="shared" si="91"/>
        <v>-0.5821888673415796</v>
      </c>
      <c r="O83" s="70">
        <f t="shared" si="92"/>
        <v>1.5894869439701143</v>
      </c>
      <c r="P83" s="70">
        <f t="shared" si="93"/>
        <v>0.71753156880241176</v>
      </c>
      <c r="Q83" s="73">
        <f t="shared" si="94"/>
        <v>-9.5644291734649514</v>
      </c>
      <c r="R83" s="73">
        <f t="shared" si="95"/>
        <v>-10.187101647951353</v>
      </c>
      <c r="S83" s="70">
        <f t="shared" si="96"/>
        <v>8.0603970125546542</v>
      </c>
      <c r="T83" s="70">
        <f t="shared" si="97"/>
        <v>-0.19982864507299022</v>
      </c>
      <c r="U83" s="70">
        <f t="shared" si="98"/>
        <v>9.3102393453587133</v>
      </c>
      <c r="V83" s="72">
        <f t="shared" si="99"/>
        <v>0.83928700204376949</v>
      </c>
      <c r="W83" s="74">
        <f t="shared" si="120"/>
        <v>132.18242404041376</v>
      </c>
      <c r="X83" s="75"/>
      <c r="Y83" s="44">
        <f t="shared" si="121"/>
        <v>1.3845393408599513</v>
      </c>
      <c r="Z83" s="45">
        <f t="shared" si="100"/>
        <v>79.3282608011001</v>
      </c>
      <c r="AA83" s="46">
        <f t="shared" si="122"/>
        <v>79.3282608011001</v>
      </c>
      <c r="AB83" s="47">
        <f t="shared" si="123"/>
        <v>4.4993321246522555E-7</v>
      </c>
      <c r="AC83" s="48">
        <f>(Fx*G83+Fy*H83)/Data!AB83</f>
        <v>102.17940339040112</v>
      </c>
      <c r="AD83" s="118">
        <f t="shared" si="124"/>
        <v>112.68525729577976</v>
      </c>
      <c r="AE83" s="85">
        <f t="shared" si="101"/>
        <v>1.9667287582683186</v>
      </c>
      <c r="AF83" s="72">
        <f t="shared" si="102"/>
        <v>-3.0909173144094071</v>
      </c>
      <c r="AG83" s="75">
        <f t="shared" si="103"/>
        <v>3.0660016461999184</v>
      </c>
      <c r="AH83" s="87" t="s">
        <v>36</v>
      </c>
      <c r="AI83" s="87" t="s">
        <v>36</v>
      </c>
      <c r="AJ83" s="75">
        <f t="shared" si="104"/>
        <v>1.1748638953214745</v>
      </c>
      <c r="AK83" s="75">
        <f t="shared" si="105"/>
        <v>5.2599517545681618</v>
      </c>
      <c r="AL83" s="75">
        <f t="shared" si="106"/>
        <v>0.37724080683633665</v>
      </c>
      <c r="AM83" s="75">
        <f t="shared" si="107"/>
        <v>1.0072985340236147</v>
      </c>
      <c r="AN83" s="75">
        <f t="shared" si="108"/>
        <v>1.7570533127298416</v>
      </c>
      <c r="AO83" s="75">
        <f t="shared" si="109"/>
        <v>-0.58218941740836705</v>
      </c>
      <c r="AP83" s="75">
        <f t="shared" si="110"/>
        <v>1.5894879514319813</v>
      </c>
      <c r="AQ83" s="75">
        <f t="shared" si="111"/>
        <v>0.71753182101342705</v>
      </c>
      <c r="AR83" s="88">
        <f t="shared" si="112"/>
        <v>-9.5644171835927914</v>
      </c>
      <c r="AS83" s="88">
        <f t="shared" si="113"/>
        <v>-10.187093999493488</v>
      </c>
      <c r="AT83" s="75">
        <f t="shared" si="114"/>
        <v>8.0603970125546542</v>
      </c>
      <c r="AU83" s="75">
        <f t="shared" si="115"/>
        <v>-0.19982864507299022</v>
      </c>
      <c r="AV83" s="75">
        <f t="shared" si="116"/>
        <v>9.3102413139125293</v>
      </c>
      <c r="AW83" s="72">
        <f t="shared" si="117"/>
        <v>0.83928593216762049</v>
      </c>
      <c r="AY83" s="89"/>
      <c r="AZ83" s="89"/>
    </row>
    <row r="84" spans="1:52">
      <c r="A84" s="55"/>
      <c r="B84" s="57">
        <f t="shared" si="118"/>
        <v>81</v>
      </c>
      <c r="C84" s="70">
        <f t="shared" si="119"/>
        <v>1.9894135478857411</v>
      </c>
      <c r="D84" s="71">
        <f t="shared" si="81"/>
        <v>113.98500000000026</v>
      </c>
      <c r="E84" s="72">
        <f t="shared" si="82"/>
        <v>-3.1277970929815728</v>
      </c>
      <c r="F84" s="70">
        <f t="shared" si="83"/>
        <v>3.0946338009230923</v>
      </c>
      <c r="G84" s="73">
        <f t="shared" si="84"/>
        <v>-1.6066648349521984E-6</v>
      </c>
      <c r="H84" s="73">
        <f t="shared" si="85"/>
        <v>1.2620326406143079E-6</v>
      </c>
      <c r="I84" s="70">
        <f t="shared" si="86"/>
        <v>1.152179105704052</v>
      </c>
      <c r="J84" s="70">
        <f t="shared" si="87"/>
        <v>5.2123363978017965</v>
      </c>
      <c r="K84" s="70">
        <f t="shared" si="88"/>
        <v>0.37696635858314487</v>
      </c>
      <c r="L84" s="70">
        <f t="shared" si="89"/>
        <v>1.017658841946127</v>
      </c>
      <c r="M84" s="70">
        <f t="shared" si="90"/>
        <v>1.7469674530605213</v>
      </c>
      <c r="N84" s="70">
        <f t="shared" si="91"/>
        <v>-0.59478834735646924</v>
      </c>
      <c r="O84" s="70">
        <f t="shared" si="92"/>
        <v>1.612447189302596</v>
      </c>
      <c r="P84" s="70">
        <f t="shared" si="93"/>
        <v>0.72321173921850945</v>
      </c>
      <c r="Q84" s="73">
        <f t="shared" si="94"/>
        <v>-9.2941368622660523</v>
      </c>
      <c r="R84" s="73">
        <f t="shared" si="95"/>
        <v>-10.015063452850574</v>
      </c>
      <c r="S84" s="70">
        <f t="shared" si="96"/>
        <v>8.0603970125546542</v>
      </c>
      <c r="T84" s="70">
        <f t="shared" si="97"/>
        <v>-0.19982864507299022</v>
      </c>
      <c r="U84" s="70">
        <f t="shared" si="98"/>
        <v>9.3545047905631868</v>
      </c>
      <c r="V84" s="72">
        <f t="shared" si="99"/>
        <v>0.81500939598303057</v>
      </c>
      <c r="W84" s="74">
        <f t="shared" si="120"/>
        <v>133.82339898630735</v>
      </c>
      <c r="X84" s="75"/>
      <c r="Y84" s="44">
        <f t="shared" si="121"/>
        <v>1.3946256397525627</v>
      </c>
      <c r="Z84" s="45">
        <f t="shared" si="100"/>
        <v>79.906163158554207</v>
      </c>
      <c r="AA84" s="46">
        <f t="shared" si="122"/>
        <v>79.906163158554207</v>
      </c>
      <c r="AB84" s="47">
        <f t="shared" si="123"/>
        <v>4.3922329084900014E-7</v>
      </c>
      <c r="AC84" s="48">
        <f>(Fx*G84+Fy*H84)/Data!AB84</f>
        <v>105.33346666195314</v>
      </c>
      <c r="AD84" s="118">
        <f t="shared" si="124"/>
        <v>113.98505729577977</v>
      </c>
      <c r="AE84" s="85">
        <f t="shared" si="101"/>
        <v>1.989414547885741</v>
      </c>
      <c r="AF84" s="72">
        <f t="shared" si="102"/>
        <v>-3.1277986996464078</v>
      </c>
      <c r="AG84" s="75">
        <f t="shared" si="103"/>
        <v>3.0946350629557329</v>
      </c>
      <c r="AH84" s="87" t="s">
        <v>36</v>
      </c>
      <c r="AI84" s="87" t="s">
        <v>36</v>
      </c>
      <c r="AJ84" s="75">
        <f t="shared" si="104"/>
        <v>1.1521781057040521</v>
      </c>
      <c r="AK84" s="75">
        <f t="shared" si="105"/>
        <v>5.2123342996231115</v>
      </c>
      <c r="AL84" s="75">
        <f t="shared" si="106"/>
        <v>0.37696634180705813</v>
      </c>
      <c r="AM84" s="75">
        <f t="shared" si="107"/>
        <v>1.0176592979455046</v>
      </c>
      <c r="AN84" s="75">
        <f t="shared" si="108"/>
        <v>1.7469670138372304</v>
      </c>
      <c r="AO84" s="75">
        <f t="shared" si="109"/>
        <v>-0.59478890813317831</v>
      </c>
      <c r="AP84" s="75">
        <f t="shared" si="110"/>
        <v>1.6124482060786829</v>
      </c>
      <c r="AQ84" s="75">
        <f t="shared" si="111"/>
        <v>0.72321198775943574</v>
      </c>
      <c r="AR84" s="88">
        <f t="shared" si="112"/>
        <v>-9.2941250230541659</v>
      </c>
      <c r="AS84" s="88">
        <f t="shared" si="113"/>
        <v>-10.015055934216102</v>
      </c>
      <c r="AT84" s="75">
        <f t="shared" si="114"/>
        <v>8.0603970125546542</v>
      </c>
      <c r="AU84" s="75">
        <f t="shared" si="115"/>
        <v>-0.19982864507299022</v>
      </c>
      <c r="AV84" s="75">
        <f t="shared" si="116"/>
        <v>9.3545067242668569</v>
      </c>
      <c r="AW84" s="72">
        <f t="shared" si="117"/>
        <v>0.8150083254864483</v>
      </c>
      <c r="AY84" s="90"/>
      <c r="AZ84" s="90"/>
    </row>
    <row r="85" spans="1:52">
      <c r="A85" s="55"/>
      <c r="B85" s="57">
        <f t="shared" si="118"/>
        <v>82</v>
      </c>
      <c r="C85" s="70">
        <f t="shared" si="119"/>
        <v>2.0120993375031633</v>
      </c>
      <c r="D85" s="71">
        <f t="shared" si="81"/>
        <v>115.28480000000026</v>
      </c>
      <c r="E85" s="72">
        <f t="shared" si="82"/>
        <v>-3.1637977080527007</v>
      </c>
      <c r="F85" s="70">
        <f t="shared" si="83"/>
        <v>3.1232715329776148</v>
      </c>
      <c r="G85" s="73">
        <f t="shared" si="84"/>
        <v>-1.5668485424669143E-6</v>
      </c>
      <c r="H85" s="73">
        <f t="shared" si="85"/>
        <v>1.2629353771664853E-6</v>
      </c>
      <c r="I85" s="70">
        <f t="shared" si="86"/>
        <v>1.1294933160866298</v>
      </c>
      <c r="J85" s="70">
        <f t="shared" si="87"/>
        <v>5.1647647553642839</v>
      </c>
      <c r="K85" s="70">
        <f t="shared" si="88"/>
        <v>0.37647777960872597</v>
      </c>
      <c r="L85" s="70">
        <f t="shared" si="89"/>
        <v>1.0279865555743748</v>
      </c>
      <c r="M85" s="70">
        <f t="shared" si="90"/>
        <v>1.7371283184066924</v>
      </c>
      <c r="N85" s="70">
        <f t="shared" si="91"/>
        <v>-0.60763500232006251</v>
      </c>
      <c r="O85" s="70">
        <f t="shared" si="92"/>
        <v>1.6356215578944366</v>
      </c>
      <c r="P85" s="70">
        <f t="shared" si="93"/>
        <v>0.72880749791655852</v>
      </c>
      <c r="Q85" s="73">
        <f t="shared" si="94"/>
        <v>-9.0272714797058597</v>
      </c>
      <c r="R85" s="73">
        <f t="shared" si="95"/>
        <v>-9.8459675152657926</v>
      </c>
      <c r="S85" s="70">
        <f t="shared" si="96"/>
        <v>8.0603970125546542</v>
      </c>
      <c r="T85" s="70">
        <f t="shared" si="97"/>
        <v>-0.19982864507299022</v>
      </c>
      <c r="U85" s="70">
        <f t="shared" si="98"/>
        <v>9.3979644007619356</v>
      </c>
      <c r="V85" s="72">
        <f t="shared" si="99"/>
        <v>0.79071521009730983</v>
      </c>
      <c r="W85" s="74">
        <f t="shared" si="120"/>
        <v>135.47180585607219</v>
      </c>
      <c r="X85" s="75"/>
      <c r="Y85" s="44">
        <f t="shared" si="121"/>
        <v>1.4044647633234146</v>
      </c>
      <c r="Z85" s="45">
        <f t="shared" si="100"/>
        <v>80.469903413271709</v>
      </c>
      <c r="AA85" s="46">
        <f t="shared" si="122"/>
        <v>80.469903413271709</v>
      </c>
      <c r="AB85" s="47">
        <f t="shared" si="123"/>
        <v>4.2814031386839702E-7</v>
      </c>
      <c r="AC85" s="48">
        <f>(Fx*G85+Fy*H85)/Data!AB85</f>
        <v>108.93501495270496</v>
      </c>
      <c r="AD85" s="118">
        <f t="shared" si="124"/>
        <v>115.28485729577979</v>
      </c>
      <c r="AE85" s="85">
        <f t="shared" si="101"/>
        <v>2.0121003375031634</v>
      </c>
      <c r="AF85" s="72">
        <f t="shared" si="102"/>
        <v>-3.1637992749012431</v>
      </c>
      <c r="AG85" s="75">
        <f t="shared" si="103"/>
        <v>3.123272795912992</v>
      </c>
      <c r="AH85" s="87" t="s">
        <v>36</v>
      </c>
      <c r="AI85" s="87" t="s">
        <v>36</v>
      </c>
      <c r="AJ85" s="75">
        <f t="shared" si="104"/>
        <v>1.1294923160866297</v>
      </c>
      <c r="AK85" s="75">
        <f t="shared" si="105"/>
        <v>5.164762659775235</v>
      </c>
      <c r="AL85" s="75">
        <f t="shared" si="106"/>
        <v>0.37647775326894717</v>
      </c>
      <c r="AM85" s="75">
        <f t="shared" si="107"/>
        <v>1.0279870100544675</v>
      </c>
      <c r="AN85" s="75">
        <f t="shared" si="108"/>
        <v>1.7371278902663785</v>
      </c>
      <c r="AO85" s="75">
        <f t="shared" si="109"/>
        <v>-0.60763557417974878</v>
      </c>
      <c r="AP85" s="75">
        <f t="shared" si="110"/>
        <v>1.6356225842342158</v>
      </c>
      <c r="AQ85" s="75">
        <f t="shared" si="111"/>
        <v>0.72880774268571402</v>
      </c>
      <c r="AR85" s="88">
        <f t="shared" si="112"/>
        <v>-9.0272597919730639</v>
      </c>
      <c r="AS85" s="88">
        <f t="shared" si="113"/>
        <v>-9.845960126231537</v>
      </c>
      <c r="AT85" s="75">
        <f t="shared" si="114"/>
        <v>8.0603970125546542</v>
      </c>
      <c r="AU85" s="75">
        <f t="shared" si="115"/>
        <v>-0.19982864507299022</v>
      </c>
      <c r="AV85" s="75">
        <f t="shared" si="116"/>
        <v>9.3979662982705978</v>
      </c>
      <c r="AW85" s="72">
        <f t="shared" si="117"/>
        <v>0.79071413875916208</v>
      </c>
      <c r="AY85" s="90"/>
    </row>
    <row r="86" spans="1:52">
      <c r="A86" s="55"/>
      <c r="B86" s="57">
        <f t="shared" si="118"/>
        <v>83</v>
      </c>
      <c r="C86" s="70">
        <f t="shared" si="119"/>
        <v>2.0347851271205855</v>
      </c>
      <c r="D86" s="71">
        <f t="shared" si="81"/>
        <v>116.58460000000025</v>
      </c>
      <c r="E86" s="72">
        <f t="shared" si="82"/>
        <v>-3.1988723111322193</v>
      </c>
      <c r="F86" s="70">
        <f t="shared" si="83"/>
        <v>3.1519461422353152</v>
      </c>
      <c r="G86" s="73">
        <f t="shared" si="84"/>
        <v>-1.5250200906535838E-6</v>
      </c>
      <c r="H86" s="73">
        <f t="shared" si="85"/>
        <v>1.2652887306785487E-6</v>
      </c>
      <c r="I86" s="70">
        <f t="shared" si="86"/>
        <v>1.1068075264692077</v>
      </c>
      <c r="J86" s="70">
        <f t="shared" si="87"/>
        <v>5.1172650271535867</v>
      </c>
      <c r="K86" s="70">
        <f t="shared" si="88"/>
        <v>0.37576937844717184</v>
      </c>
      <c r="L86" s="70">
        <f t="shared" si="89"/>
        <v>1.0382783363863395</v>
      </c>
      <c r="M86" s="70">
        <f t="shared" si="90"/>
        <v>1.7275449387562818</v>
      </c>
      <c r="N86" s="70">
        <f t="shared" si="91"/>
        <v>-0.62073741228707413</v>
      </c>
      <c r="O86" s="70">
        <f t="shared" si="92"/>
        <v>1.6590157486734132</v>
      </c>
      <c r="P86" s="70">
        <f t="shared" si="93"/>
        <v>0.73431653597267366</v>
      </c>
      <c r="Q86" s="73">
        <f t="shared" si="94"/>
        <v>-8.7638527533344917</v>
      </c>
      <c r="R86" s="73">
        <f t="shared" si="95"/>
        <v>-9.6798108518657333</v>
      </c>
      <c r="S86" s="70">
        <f t="shared" si="96"/>
        <v>8.0603970125546542</v>
      </c>
      <c r="T86" s="70">
        <f t="shared" si="97"/>
        <v>-0.19982864507299022</v>
      </c>
      <c r="U86" s="70">
        <f t="shared" si="98"/>
        <v>9.4405875290358789</v>
      </c>
      <c r="V86" s="72">
        <f t="shared" si="99"/>
        <v>0.76639940771498505</v>
      </c>
      <c r="W86" s="74">
        <f t="shared" si="120"/>
        <v>137.12783888262376</v>
      </c>
      <c r="X86" s="77"/>
      <c r="Y86" s="44">
        <f t="shared" si="121"/>
        <v>1.414048131507458</v>
      </c>
      <c r="Z86" s="45">
        <f t="shared" si="100"/>
        <v>81.01898996373734</v>
      </c>
      <c r="AA86" s="46">
        <f t="shared" si="122"/>
        <v>81.01898996373734</v>
      </c>
      <c r="AB86" s="47">
        <f t="shared" si="123"/>
        <v>4.1667394667932456E-7</v>
      </c>
      <c r="AC86" s="48">
        <f>(Fx*G86+Fy*H86)/Data!AB86</f>
        <v>113.0365251892989</v>
      </c>
      <c r="AD86" s="118">
        <f t="shared" si="124"/>
        <v>116.58465729577976</v>
      </c>
      <c r="AE86" s="85">
        <f t="shared" si="101"/>
        <v>2.0347861271205856</v>
      </c>
      <c r="AF86" s="72">
        <f t="shared" si="102"/>
        <v>-3.1988738361523099</v>
      </c>
      <c r="AG86" s="75">
        <f t="shared" si="103"/>
        <v>3.1519474075240459</v>
      </c>
      <c r="AH86" s="87" t="s">
        <v>36</v>
      </c>
      <c r="AI86" s="87" t="s">
        <v>36</v>
      </c>
      <c r="AJ86" s="75">
        <f t="shared" si="104"/>
        <v>1.1068065264692075</v>
      </c>
      <c r="AK86" s="75">
        <f t="shared" si="105"/>
        <v>5.1172629353201833</v>
      </c>
      <c r="AL86" s="75">
        <f t="shared" si="106"/>
        <v>0.3757693422908075</v>
      </c>
      <c r="AM86" s="75">
        <f t="shared" si="107"/>
        <v>1.0382787892166505</v>
      </c>
      <c r="AN86" s="75">
        <f t="shared" si="108"/>
        <v>1.7275445220823353</v>
      </c>
      <c r="AO86" s="75">
        <f t="shared" si="109"/>
        <v>-0.62073799561312781</v>
      </c>
      <c r="AP86" s="75">
        <f t="shared" si="110"/>
        <v>1.6590167848297774</v>
      </c>
      <c r="AQ86" s="75">
        <f t="shared" si="111"/>
        <v>0.73431677686821084</v>
      </c>
      <c r="AR86" s="88">
        <f t="shared" si="112"/>
        <v>-8.763841217997502</v>
      </c>
      <c r="AS86" s="88">
        <f t="shared" si="113"/>
        <v>-9.6798035923890762</v>
      </c>
      <c r="AT86" s="75">
        <f t="shared" si="114"/>
        <v>8.0603970125546542</v>
      </c>
      <c r="AU86" s="75">
        <f t="shared" si="115"/>
        <v>-0.19982864507299022</v>
      </c>
      <c r="AV86" s="75">
        <f t="shared" si="116"/>
        <v>9.4405893889922829</v>
      </c>
      <c r="AW86" s="72">
        <f t="shared" si="117"/>
        <v>0.766398335312375</v>
      </c>
      <c r="AY86" s="90"/>
    </row>
    <row r="87" spans="1:52">
      <c r="A87" s="55"/>
      <c r="B87" s="57">
        <f t="shared" si="118"/>
        <v>84</v>
      </c>
      <c r="C87" s="70">
        <f t="shared" si="119"/>
        <v>2.0574709167380076</v>
      </c>
      <c r="D87" s="71">
        <f>C87*180/PI()</f>
        <v>117.88440000000024</v>
      </c>
      <c r="E87" s="72">
        <f t="shared" si="82"/>
        <v>-3.232974801446308</v>
      </c>
      <c r="F87" s="70">
        <f t="shared" si="83"/>
        <v>3.1806908568359824</v>
      </c>
      <c r="G87" s="73">
        <f t="shared" si="84"/>
        <v>-1.4811392876623586E-6</v>
      </c>
      <c r="H87" s="73">
        <f t="shared" si="85"/>
        <v>1.269120321722994E-6</v>
      </c>
      <c r="I87" s="70">
        <f>PI()-C87</f>
        <v>1.0841217368517855</v>
      </c>
      <c r="J87" s="70">
        <f>SQRT(a^2+b^2-2*a*b*COS(I87))</f>
        <v>5.0698640220480851</v>
      </c>
      <c r="K87" s="70">
        <f>ACOS((a^2+J87^2-b^2)/(2*a*J87))</f>
        <v>0.37483538272241712</v>
      </c>
      <c r="L87" s="70">
        <f>ACOS((d^2+J87^2-cc^2)/(2*d*J87))</f>
        <v>1.0485311410915128</v>
      </c>
      <c r="M87" s="70">
        <f>PI()-K87-L87</f>
        <v>1.718226129775863</v>
      </c>
      <c r="N87" s="70">
        <f>IF(ABS(PI()-M87-C87)&lt;0.0000000001,0.0000000001,PI()-M87-C87)</f>
        <v>-0.6341043929240775</v>
      </c>
      <c r="O87" s="70">
        <f>ACOS((b^2+J87^2-a^2)/(2*b*J87))</f>
        <v>1.6826355340155905</v>
      </c>
      <c r="P87" s="70">
        <f>ACOS((cc^2+J87^2-d^2)/(2*cc*J87))</f>
        <v>0.73973654260880861</v>
      </c>
      <c r="Q87" s="73">
        <f>a*SIN(C87)/SIN(N87)</f>
        <v>-8.5039023868010979</v>
      </c>
      <c r="R87" s="73">
        <f>a*SIN(M87)/SIN(N87)</f>
        <v>-9.516594392058261</v>
      </c>
      <c r="S87" s="70">
        <f t="shared" si="96"/>
        <v>8.0603970125546542</v>
      </c>
      <c r="T87" s="70">
        <f>ASIN(s/S87)</f>
        <v>-0.19982864507299022</v>
      </c>
      <c r="U87" s="70">
        <f t="shared" si="98"/>
        <v>9.4823432299213213</v>
      </c>
      <c r="V87" s="72">
        <f t="shared" si="99"/>
        <v>0.74205691303957055</v>
      </c>
      <c r="W87" s="74">
        <f t="shared" si="120"/>
        <v>138.79169640091891</v>
      </c>
      <c r="X87" s="62"/>
      <c r="Y87" s="44">
        <f t="shared" si="121"/>
        <v>1.4233669286276898</v>
      </c>
      <c r="Z87" s="45">
        <f t="shared" si="100"/>
        <v>81.552917708865309</v>
      </c>
      <c r="AA87" s="46">
        <f t="shared" si="122"/>
        <v>81.552917708865309</v>
      </c>
      <c r="AB87" s="47">
        <f t="shared" si="123"/>
        <v>4.0481375984668944E-7</v>
      </c>
      <c r="AC87" s="48">
        <f>(Fx*G87+Fy*H87)/Data!AB87</f>
        <v>117.69921870334122</v>
      </c>
      <c r="AD87" s="118">
        <f t="shared" si="124"/>
        <v>117.88445729577975</v>
      </c>
      <c r="AE87" s="85">
        <f t="shared" si="101"/>
        <v>2.0574719167380078</v>
      </c>
      <c r="AF87" s="72">
        <f t="shared" si="102"/>
        <v>-3.2329762825855957</v>
      </c>
      <c r="AG87" s="75">
        <f t="shared" si="103"/>
        <v>3.1806921259563041</v>
      </c>
      <c r="AH87" s="87" t="s">
        <v>36</v>
      </c>
      <c r="AI87" s="87" t="s">
        <v>36</v>
      </c>
      <c r="AJ87" s="75">
        <f t="shared" si="104"/>
        <v>1.0841207368517853</v>
      </c>
      <c r="AK87" s="75">
        <f t="shared" si="105"/>
        <v>5.0698619351679319</v>
      </c>
      <c r="AL87" s="75">
        <f t="shared" si="106"/>
        <v>0.37483533649352974</v>
      </c>
      <c r="AM87" s="75">
        <f t="shared" si="107"/>
        <v>1.04853159213416</v>
      </c>
      <c r="AN87" s="75">
        <f t="shared" si="108"/>
        <v>1.7182257249621031</v>
      </c>
      <c r="AO87" s="75">
        <f t="shared" si="109"/>
        <v>-0.63410498811031779</v>
      </c>
      <c r="AP87" s="75">
        <f t="shared" si="110"/>
        <v>1.6826365802444778</v>
      </c>
      <c r="AQ87" s="75">
        <f t="shared" si="111"/>
        <v>0.7397367795288845</v>
      </c>
      <c r="AR87" s="88">
        <f t="shared" si="112"/>
        <v>-8.5038910048531591</v>
      </c>
      <c r="AS87" s="88">
        <f t="shared" si="113"/>
        <v>-9.5165872622612415</v>
      </c>
      <c r="AT87" s="75">
        <f t="shared" si="114"/>
        <v>8.0603970125546542</v>
      </c>
      <c r="AU87" s="75">
        <f t="shared" si="115"/>
        <v>-0.19982864507299022</v>
      </c>
      <c r="AV87" s="75">
        <f t="shared" si="116"/>
        <v>9.4823450509542848</v>
      </c>
      <c r="AW87" s="72">
        <f t="shared" si="117"/>
        <v>0.74205583934792052</v>
      </c>
      <c r="AX87" s="90"/>
      <c r="AY87" s="90"/>
    </row>
    <row r="88" spans="1:52">
      <c r="A88" s="55"/>
      <c r="B88" s="57">
        <f t="shared" si="118"/>
        <v>85</v>
      </c>
      <c r="C88" s="70">
        <f t="shared" si="119"/>
        <v>2.0801567063554298</v>
      </c>
      <c r="D88" s="71">
        <f t="shared" si="81"/>
        <v>119.18420000000025</v>
      </c>
      <c r="E88" s="72">
        <f t="shared" si="82"/>
        <v>-3.2660581512283899</v>
      </c>
      <c r="F88" s="70">
        <f t="shared" si="83"/>
        <v>3.2095394925236316</v>
      </c>
      <c r="G88" s="73">
        <f t="shared" si="84"/>
        <v>-1.4351646129284745E-6</v>
      </c>
      <c r="H88" s="73">
        <f t="shared" si="85"/>
        <v>1.2744542581266671E-6</v>
      </c>
      <c r="I88" s="70">
        <f t="shared" si="86"/>
        <v>1.0614359472343633</v>
      </c>
      <c r="J88" s="70">
        <f t="shared" si="87"/>
        <v>5.0225892735981148</v>
      </c>
      <c r="K88" s="70">
        <f t="shared" si="88"/>
        <v>0.37366995578549411</v>
      </c>
      <c r="L88" s="70">
        <f t="shared" si="89"/>
        <v>1.0587417533856565</v>
      </c>
      <c r="M88" s="70">
        <f t="shared" si="90"/>
        <v>1.7091809444186428</v>
      </c>
      <c r="N88" s="70">
        <f t="shared" si="91"/>
        <v>-0.64774499718427947</v>
      </c>
      <c r="O88" s="70">
        <f t="shared" si="92"/>
        <v>1.7064867505699355</v>
      </c>
      <c r="P88" s="70">
        <f t="shared" si="93"/>
        <v>0.74506520929603071</v>
      </c>
      <c r="Q88" s="73">
        <f t="shared" si="94"/>
        <v>-8.2474435876501744</v>
      </c>
      <c r="R88" s="73">
        <f t="shared" si="95"/>
        <v>-9.3563226331259237</v>
      </c>
      <c r="S88" s="70">
        <f t="shared" si="96"/>
        <v>8.0603970125546542</v>
      </c>
      <c r="T88" s="70">
        <f t="shared" si="97"/>
        <v>-0.19982864507299022</v>
      </c>
      <c r="U88" s="70">
        <f t="shared" si="98"/>
        <v>9.5232002249914878</v>
      </c>
      <c r="V88" s="72">
        <f t="shared" si="99"/>
        <v>0.71768261295235025</v>
      </c>
      <c r="W88" s="74">
        <f t="shared" si="120"/>
        <v>140.46358055734524</v>
      </c>
      <c r="X88" s="75"/>
      <c r="Y88" s="44">
        <f t="shared" si="121"/>
        <v>1.4324121017204214</v>
      </c>
      <c r="Z88" s="45">
        <f t="shared" si="100"/>
        <v>82.071167952044107</v>
      </c>
      <c r="AA88" s="46">
        <f t="shared" si="122"/>
        <v>82.071167952044107</v>
      </c>
      <c r="AB88" s="47">
        <f t="shared" si="123"/>
        <v>3.9254927086673774E-7</v>
      </c>
      <c r="AC88" s="48">
        <f>(Fx*G88+Fy*H88)/Data!AB88</f>
        <v>122.99506155621407</v>
      </c>
      <c r="AD88" s="118">
        <f t="shared" si="124"/>
        <v>119.18425729577976</v>
      </c>
      <c r="AE88" s="85">
        <f t="shared" si="101"/>
        <v>2.08015770635543</v>
      </c>
      <c r="AF88" s="72">
        <f t="shared" si="102"/>
        <v>-3.2660595863930029</v>
      </c>
      <c r="AG88" s="75">
        <f t="shared" si="103"/>
        <v>3.2095407669778897</v>
      </c>
      <c r="AH88" s="87" t="s">
        <v>36</v>
      </c>
      <c r="AI88" s="87" t="s">
        <v>36</v>
      </c>
      <c r="AJ88" s="75">
        <f t="shared" si="104"/>
        <v>1.0614349472343632</v>
      </c>
      <c r="AK88" s="75">
        <f t="shared" si="105"/>
        <v>5.0225871929011063</v>
      </c>
      <c r="AL88" s="75">
        <f t="shared" si="106"/>
        <v>0.37366989922553562</v>
      </c>
      <c r="AM88" s="75">
        <f t="shared" si="107"/>
        <v>1.0587422024948858</v>
      </c>
      <c r="AN88" s="75">
        <f t="shared" si="108"/>
        <v>1.7091805518693719</v>
      </c>
      <c r="AO88" s="75">
        <f t="shared" si="109"/>
        <v>-0.64774560463500874</v>
      </c>
      <c r="AP88" s="75">
        <f t="shared" si="110"/>
        <v>1.7064878071298941</v>
      </c>
      <c r="AQ88" s="75">
        <f t="shared" si="111"/>
        <v>0.74506544213899983</v>
      </c>
      <c r="AR88" s="88">
        <f t="shared" si="112"/>
        <v>-8.2474323601407455</v>
      </c>
      <c r="AS88" s="88">
        <f t="shared" si="113"/>
        <v>-9.3563156332806923</v>
      </c>
      <c r="AT88" s="75">
        <f t="shared" si="114"/>
        <v>8.0603970125546542</v>
      </c>
      <c r="AU88" s="75">
        <f t="shared" si="115"/>
        <v>-0.19982864507299022</v>
      </c>
      <c r="AV88" s="75">
        <f t="shared" si="116"/>
        <v>9.5232020057144062</v>
      </c>
      <c r="AW88" s="72">
        <f t="shared" si="117"/>
        <v>0.71768153774547772</v>
      </c>
      <c r="AX88" s="90"/>
      <c r="AY88" s="90"/>
    </row>
    <row r="89" spans="1:52">
      <c r="A89" s="55"/>
      <c r="B89" s="57">
        <f t="shared" si="118"/>
        <v>86</v>
      </c>
      <c r="C89" s="70">
        <f t="shared" si="119"/>
        <v>2.102842495972852</v>
      </c>
      <c r="D89" s="71">
        <f t="shared" si="81"/>
        <v>120.48400000000024</v>
      </c>
      <c r="E89" s="72">
        <f t="shared" si="82"/>
        <v>-3.2980743768955945</v>
      </c>
      <c r="F89" s="70">
        <f t="shared" si="83"/>
        <v>3.2385263649420573</v>
      </c>
      <c r="G89" s="73">
        <f t="shared" si="84"/>
        <v>-1.3870533308590893E-6</v>
      </c>
      <c r="H89" s="73">
        <f t="shared" si="85"/>
        <v>1.2813104315334556E-6</v>
      </c>
      <c r="I89" s="70">
        <f t="shared" si="86"/>
        <v>1.0387501576169411</v>
      </c>
      <c r="J89" s="70">
        <f t="shared" si="87"/>
        <v>4.9754690554489214</v>
      </c>
      <c r="K89" s="70">
        <f t="shared" si="88"/>
        <v>0.37226720731250795</v>
      </c>
      <c r="L89" s="70">
        <f t="shared" si="89"/>
        <v>1.0689067727105761</v>
      </c>
      <c r="M89" s="70">
        <f t="shared" si="90"/>
        <v>1.7004186735667091</v>
      </c>
      <c r="N89" s="70">
        <f t="shared" si="91"/>
        <v>-0.66166851594976794</v>
      </c>
      <c r="O89" s="70">
        <f t="shared" si="92"/>
        <v>1.7305752886603438</v>
      </c>
      <c r="P89" s="70">
        <f t="shared" si="93"/>
        <v>0.75030023436167248</v>
      </c>
      <c r="Q89" s="73">
        <f t="shared" si="94"/>
        <v>-7.9945006175042534</v>
      </c>
      <c r="R89" s="73">
        <f t="shared" si="95"/>
        <v>-9.1990033253164061</v>
      </c>
      <c r="S89" s="70">
        <f t="shared" si="96"/>
        <v>8.0603970125546542</v>
      </c>
      <c r="T89" s="70">
        <f t="shared" si="97"/>
        <v>-0.19982864507299022</v>
      </c>
      <c r="U89" s="70">
        <f t="shared" si="98"/>
        <v>9.5631268687898228</v>
      </c>
      <c r="V89" s="72">
        <f t="shared" si="99"/>
        <v>0.69327135931078443</v>
      </c>
      <c r="W89" s="74">
        <f t="shared" si="120"/>
        <v>142.14369696647222</v>
      </c>
      <c r="X89" s="75"/>
      <c r="Y89" s="44">
        <f t="shared" si="121"/>
        <v>1.4411743598930784</v>
      </c>
      <c r="Z89" s="45">
        <f>IF(ISNA(AA89),0,AA89)</f>
        <v>82.573208364341383</v>
      </c>
      <c r="AA89" s="46">
        <f t="shared" si="122"/>
        <v>82.573208364341383</v>
      </c>
      <c r="AB89" s="47">
        <f t="shared" si="123"/>
        <v>3.7986999434913571E-7</v>
      </c>
      <c r="AC89" s="48">
        <f>(Fx*G89+Fy*H89)/Data!AB89</f>
        <v>129.00926040593438</v>
      </c>
      <c r="AD89" s="118">
        <f t="shared" si="124"/>
        <v>120.48405729577975</v>
      </c>
      <c r="AE89" s="85">
        <f t="shared" si="101"/>
        <v>2.1028434959728521</v>
      </c>
      <c r="AF89" s="72">
        <f t="shared" si="102"/>
        <v>-3.2980757639489253</v>
      </c>
      <c r="AG89" s="75">
        <f t="shared" si="103"/>
        <v>3.2385276462524888</v>
      </c>
      <c r="AH89" s="87" t="s">
        <v>36</v>
      </c>
      <c r="AI89" s="87" t="s">
        <v>36</v>
      </c>
      <c r="AJ89" s="75">
        <f t="shared" si="104"/>
        <v>1.038749157616941</v>
      </c>
      <c r="AK89" s="75">
        <f t="shared" si="105"/>
        <v>4.9754669821979025</v>
      </c>
      <c r="AL89" s="75">
        <f t="shared" si="106"/>
        <v>0.37226714016081863</v>
      </c>
      <c r="AM89" s="75">
        <f t="shared" si="107"/>
        <v>1.0689072197322598</v>
      </c>
      <c r="AN89" s="75">
        <f t="shared" si="108"/>
        <v>1.7004182936967145</v>
      </c>
      <c r="AO89" s="75">
        <f t="shared" si="109"/>
        <v>-0.66166913607977351</v>
      </c>
      <c r="AP89" s="75">
        <f t="shared" si="110"/>
        <v>1.7305763558120331</v>
      </c>
      <c r="AQ89" s="75">
        <f t="shared" si="111"/>
        <v>0.75030046302630038</v>
      </c>
      <c r="AR89" s="88">
        <f t="shared" si="112"/>
        <v>-7.9944895455196416</v>
      </c>
      <c r="AS89" s="88">
        <f t="shared" si="113"/>
        <v>-9.1989964558319741</v>
      </c>
      <c r="AT89" s="75">
        <f t="shared" si="114"/>
        <v>8.0603970125546542</v>
      </c>
      <c r="AU89" s="75">
        <f t="shared" si="115"/>
        <v>-0.19982864507299022</v>
      </c>
      <c r="AV89" s="75">
        <f t="shared" si="116"/>
        <v>9.5631286077991611</v>
      </c>
      <c r="AW89" s="72">
        <f t="shared" si="117"/>
        <v>0.69327028236102795</v>
      </c>
      <c r="AX89" s="90"/>
      <c r="AY89" s="90"/>
    </row>
    <row r="90" spans="1:52">
      <c r="A90" s="55"/>
      <c r="B90" s="57">
        <f t="shared" si="118"/>
        <v>87</v>
      </c>
      <c r="C90" s="70">
        <f t="shared" si="119"/>
        <v>2.1255282855902742</v>
      </c>
      <c r="D90" s="71">
        <f t="shared" si="81"/>
        <v>121.78380000000023</v>
      </c>
      <c r="E90" s="72">
        <f t="shared" si="82"/>
        <v>-3.3289745122236427</v>
      </c>
      <c r="F90" s="70">
        <f t="shared" si="83"/>
        <v>3.267686191478743</v>
      </c>
      <c r="G90" s="73">
        <f t="shared" si="84"/>
        <v>-1.3367615725456972E-6</v>
      </c>
      <c r="H90" s="73">
        <f t="shared" si="85"/>
        <v>1.2897042642734391E-6</v>
      </c>
      <c r="I90" s="70">
        <f t="shared" si="86"/>
        <v>1.0160643679995189</v>
      </c>
      <c r="J90" s="70">
        <f t="shared" si="87"/>
        <v>4.9285323959415193</v>
      </c>
      <c r="K90" s="70">
        <f t="shared" si="88"/>
        <v>0.37062120545178434</v>
      </c>
      <c r="L90" s="70">
        <f t="shared" si="89"/>
        <v>1.0790226026440797</v>
      </c>
      <c r="M90" s="70">
        <f t="shared" si="90"/>
        <v>1.6919488454939291</v>
      </c>
      <c r="N90" s="70">
        <f t="shared" ref="N90:N104" si="125">IF(ABS(PI()-M90-C90)&lt;0.0000000001,0.0000000001,PI()-M90-C90)</f>
        <v>-0.67588447749441016</v>
      </c>
      <c r="O90" s="70">
        <f t="shared" si="92"/>
        <v>1.7549070801384901</v>
      </c>
      <c r="P90" s="70">
        <f t="shared" si="93"/>
        <v>0.75543932812129322</v>
      </c>
      <c r="Q90" s="73">
        <f t="shared" si="94"/>
        <v>-7.7450983615842999</v>
      </c>
      <c r="R90" s="73">
        <f t="shared" si="95"/>
        <v>-9.0446471844259637</v>
      </c>
      <c r="S90" s="70">
        <f t="shared" si="96"/>
        <v>8.0603970125546542</v>
      </c>
      <c r="T90" s="70">
        <f t="shared" si="97"/>
        <v>-0.19982864507299022</v>
      </c>
      <c r="U90" s="70">
        <f t="shared" si="98"/>
        <v>9.6020911153959077</v>
      </c>
      <c r="V90" s="72">
        <f t="shared" si="99"/>
        <v>0.66881797182235647</v>
      </c>
      <c r="W90" s="74">
        <f t="shared" si="120"/>
        <v>143.83225430911071</v>
      </c>
      <c r="X90" s="62"/>
      <c r="Y90" s="44">
        <f t="shared" si="121"/>
        <v>1.4496441748613615</v>
      </c>
      <c r="Z90" s="45">
        <f t="shared" ref="Z90:Z104" si="126">IF(ISNA(AA90),0,AA90)</f>
        <v>83.058493015280732</v>
      </c>
      <c r="AA90" s="46">
        <f t="shared" si="122"/>
        <v>83.058493015280732</v>
      </c>
      <c r="AB90" s="47">
        <f t="shared" si="123"/>
        <v>3.6676549752812093E-7</v>
      </c>
      <c r="AC90" s="48">
        <f>(Fx*G90+Fy*H90)/Data!AB90</f>
        <v>135.84356801145444</v>
      </c>
      <c r="AD90" s="118">
        <f t="shared" si="124"/>
        <v>121.78385729577974</v>
      </c>
      <c r="AE90" s="85">
        <f t="shared" si="101"/>
        <v>2.1255292855902743</v>
      </c>
      <c r="AF90" s="72">
        <f t="shared" si="102"/>
        <v>-3.3289758489852153</v>
      </c>
      <c r="AG90" s="75">
        <f t="shared" si="103"/>
        <v>3.2676874811830072</v>
      </c>
      <c r="AH90" s="87" t="s">
        <v>36</v>
      </c>
      <c r="AI90" s="87" t="s">
        <v>36</v>
      </c>
      <c r="AJ90" s="75">
        <f t="shared" si="104"/>
        <v>1.0160633679995188</v>
      </c>
      <c r="AK90" s="75">
        <f t="shared" si="105"/>
        <v>4.9285303314329116</v>
      </c>
      <c r="AL90" s="75">
        <f t="shared" si="106"/>
        <v>0.37062112744616793</v>
      </c>
      <c r="AM90" s="75">
        <f t="shared" si="107"/>
        <v>1.0790230474151936</v>
      </c>
      <c r="AN90" s="75">
        <f t="shared" si="108"/>
        <v>1.6919484787284313</v>
      </c>
      <c r="AO90" s="75">
        <f t="shared" si="109"/>
        <v>-0.67588511072891255</v>
      </c>
      <c r="AP90" s="75">
        <f t="shared" si="110"/>
        <v>1.7549081581441064</v>
      </c>
      <c r="AQ90" s="75">
        <f t="shared" si="111"/>
        <v>0.75543955250699513</v>
      </c>
      <c r="AR90" s="88">
        <f t="shared" si="112"/>
        <v>-7.7450874462290642</v>
      </c>
      <c r="AS90" s="88">
        <f t="shared" si="113"/>
        <v>-9.044640445836114</v>
      </c>
      <c r="AT90" s="75">
        <f t="shared" si="114"/>
        <v>8.0603970125546542</v>
      </c>
      <c r="AU90" s="75">
        <f t="shared" si="115"/>
        <v>-0.19982864507299022</v>
      </c>
      <c r="AV90" s="75">
        <f t="shared" si="116"/>
        <v>9.6020928112697614</v>
      </c>
      <c r="AW90" s="72">
        <f t="shared" si="117"/>
        <v>0.66881689290070612</v>
      </c>
      <c r="AX90" s="90"/>
      <c r="AY90" s="90"/>
    </row>
    <row r="91" spans="1:52">
      <c r="A91" s="55"/>
      <c r="B91" s="57">
        <f t="shared" si="118"/>
        <v>88</v>
      </c>
      <c r="C91" s="70">
        <f t="shared" si="119"/>
        <v>2.1482140752076964</v>
      </c>
      <c r="D91" s="71">
        <f t="shared" si="81"/>
        <v>123.08360000000022</v>
      </c>
      <c r="E91" s="72">
        <f t="shared" si="82"/>
        <v>-3.3587085842394933</v>
      </c>
      <c r="F91" s="70">
        <f t="shared" si="83"/>
        <v>3.2970539817622901</v>
      </c>
      <c r="G91" s="73">
        <f t="shared" si="84"/>
        <v>-1.2842444725436053E-6</v>
      </c>
      <c r="H91" s="73">
        <f t="shared" si="85"/>
        <v>1.2996460436731638E-6</v>
      </c>
      <c r="I91" s="70">
        <f t="shared" si="86"/>
        <v>0.99337857838209676</v>
      </c>
      <c r="J91" s="70">
        <f t="shared" si="87"/>
        <v>4.8818090916820625</v>
      </c>
      <c r="K91" s="70">
        <f t="shared" si="88"/>
        <v>0.36872599065181988</v>
      </c>
      <c r="L91" s="70">
        <f t="shared" si="89"/>
        <v>1.0890854389493949</v>
      </c>
      <c r="M91" s="70">
        <f t="shared" si="90"/>
        <v>1.6837812239885785</v>
      </c>
      <c r="N91" s="70">
        <f t="shared" si="125"/>
        <v>-0.69040264560648179</v>
      </c>
      <c r="O91" s="70">
        <f t="shared" si="92"/>
        <v>1.7794880845558763</v>
      </c>
      <c r="P91" s="70">
        <f t="shared" si="93"/>
        <v>0.76048021855394821</v>
      </c>
      <c r="Q91" s="73">
        <f t="shared" si="94"/>
        <v>-7.499261914798363</v>
      </c>
      <c r="R91" s="73">
        <f t="shared" si="95"/>
        <v>-8.8932676297365507</v>
      </c>
      <c r="S91" s="70">
        <f t="shared" si="96"/>
        <v>8.0603970125546542</v>
      </c>
      <c r="T91" s="70">
        <f t="shared" si="97"/>
        <v>-0.19982864507299022</v>
      </c>
      <c r="U91" s="70">
        <f t="shared" si="98"/>
        <v>9.6400604859528176</v>
      </c>
      <c r="V91" s="72">
        <f t="shared" si="99"/>
        <v>0.64431724157858672</v>
      </c>
      <c r="W91" s="74">
        <f t="shared" si="120"/>
        <v>145.52946386519835</v>
      </c>
      <c r="X91" s="62"/>
      <c r="Y91" s="44">
        <f t="shared" si="121"/>
        <v>1.4578117828266757</v>
      </c>
      <c r="Z91" s="45">
        <f t="shared" si="126"/>
        <v>83.526462480410657</v>
      </c>
      <c r="AA91" s="46">
        <f t="shared" si="122"/>
        <v>83.526462480410657</v>
      </c>
      <c r="AB91" s="47">
        <f t="shared" si="123"/>
        <v>3.5322546088067952E-7</v>
      </c>
      <c r="AC91" s="48">
        <f>(Fx*G91+Fy*H91)/Data!AB91</f>
        <v>143.62057092213979</v>
      </c>
      <c r="AD91" s="118">
        <f t="shared" si="124"/>
        <v>123.08365729577973</v>
      </c>
      <c r="AE91" s="85">
        <f t="shared" si="101"/>
        <v>2.1482150752076965</v>
      </c>
      <c r="AF91" s="72">
        <f t="shared" si="102"/>
        <v>-3.3587098684839658</v>
      </c>
      <c r="AG91" s="75">
        <f t="shared" si="103"/>
        <v>3.2970552814083338</v>
      </c>
      <c r="AH91" s="87" t="s">
        <v>36</v>
      </c>
      <c r="AI91" s="87" t="s">
        <v>36</v>
      </c>
      <c r="AJ91" s="75">
        <f t="shared" si="104"/>
        <v>0.99337757838209662</v>
      </c>
      <c r="AK91" s="75">
        <f t="shared" si="105"/>
        <v>4.8818070372464319</v>
      </c>
      <c r="AL91" s="75">
        <f t="shared" si="106"/>
        <v>0.36872590152918838</v>
      </c>
      <c r="AM91" s="75">
        <f t="shared" si="107"/>
        <v>1.0890858812974873</v>
      </c>
      <c r="AN91" s="75">
        <f t="shared" si="108"/>
        <v>1.6837808707631172</v>
      </c>
      <c r="AO91" s="75">
        <f t="shared" si="109"/>
        <v>-0.69040329238102061</v>
      </c>
      <c r="AP91" s="75">
        <f t="shared" si="110"/>
        <v>1.7794891736785083</v>
      </c>
      <c r="AQ91" s="75">
        <f t="shared" si="111"/>
        <v>0.76048043856105152</v>
      </c>
      <c r="AR91" s="88">
        <f t="shared" si="112"/>
        <v>-7.4992511571773965</v>
      </c>
      <c r="AS91" s="88">
        <f t="shared" si="113"/>
        <v>-8.8932610226888116</v>
      </c>
      <c r="AT91" s="75">
        <f t="shared" si="114"/>
        <v>8.0603970125546542</v>
      </c>
      <c r="AU91" s="75">
        <f t="shared" si="115"/>
        <v>-0.19982864507299022</v>
      </c>
      <c r="AV91" s="75">
        <f t="shared" si="116"/>
        <v>9.6400621372494992</v>
      </c>
      <c r="AW91" s="72">
        <f t="shared" si="117"/>
        <v>0.64431616045485907</v>
      </c>
      <c r="AX91" s="90"/>
      <c r="AY91" s="90"/>
    </row>
    <row r="92" spans="1:52">
      <c r="A92" s="55"/>
      <c r="B92" s="57">
        <f t="shared" si="118"/>
        <v>89</v>
      </c>
      <c r="C92" s="70">
        <f t="shared" si="119"/>
        <v>2.1708998648251185</v>
      </c>
      <c r="D92" s="71">
        <f t="shared" si="81"/>
        <v>124.38340000000022</v>
      </c>
      <c r="E92" s="72">
        <f t="shared" si="82"/>
        <v>-3.387225592660795</v>
      </c>
      <c r="F92" s="70">
        <f t="shared" si="83"/>
        <v>3.3266649158891042</v>
      </c>
      <c r="G92" s="73">
        <f t="shared" si="84"/>
        <v>-1.2294563607184728E-6</v>
      </c>
      <c r="H92" s="73">
        <f t="shared" si="85"/>
        <v>1.3111403864840554E-6</v>
      </c>
      <c r="I92" s="70">
        <f t="shared" si="86"/>
        <v>0.97069278876467457</v>
      </c>
      <c r="J92" s="70">
        <f t="shared" si="87"/>
        <v>4.835329719846067</v>
      </c>
      <c r="K92" s="70">
        <f t="shared" si="88"/>
        <v>0.36657559130576312</v>
      </c>
      <c r="L92" s="70">
        <f t="shared" si="89"/>
        <v>1.0990912573237428</v>
      </c>
      <c r="M92" s="70">
        <f t="shared" si="90"/>
        <v>1.6759258049602872</v>
      </c>
      <c r="N92" s="70">
        <f t="shared" si="125"/>
        <v>-0.70523301619561263</v>
      </c>
      <c r="O92" s="70">
        <f t="shared" si="92"/>
        <v>1.8043242735193548</v>
      </c>
      <c r="P92" s="70">
        <f t="shared" si="93"/>
        <v>0.76542065753594135</v>
      </c>
      <c r="Q92" s="73">
        <f t="shared" si="94"/>
        <v>-7.2570161818725465</v>
      </c>
      <c r="R92" s="73">
        <f t="shared" si="95"/>
        <v>-8.7448805454569225</v>
      </c>
      <c r="S92" s="70">
        <f t="shared" si="96"/>
        <v>8.0603970125546542</v>
      </c>
      <c r="T92" s="70">
        <f t="shared" si="97"/>
        <v>-0.19982864507299022</v>
      </c>
      <c r="U92" s="70">
        <f t="shared" si="98"/>
        <v>9.6770020375381129</v>
      </c>
      <c r="V92" s="72">
        <f t="shared" si="99"/>
        <v>0.61976393533939611</v>
      </c>
      <c r="W92" s="74">
        <f t="shared" si="120"/>
        <v>147.23553897460516</v>
      </c>
      <c r="X92" s="62"/>
      <c r="Y92" s="44">
        <f t="shared" si="121"/>
        <v>1.465667187869258</v>
      </c>
      <c r="Z92" s="45">
        <f t="shared" si="126"/>
        <v>83.976544035716415</v>
      </c>
      <c r="AA92" s="46">
        <f t="shared" si="122"/>
        <v>83.976544035716415</v>
      </c>
      <c r="AB92" s="47">
        <f t="shared" si="123"/>
        <v>3.3923975206739954E-7</v>
      </c>
      <c r="AC92" s="48">
        <f>(Fx*G92+Fy*H92)/Data!AB92</f>
        <v>152.48941572706224</v>
      </c>
      <c r="AD92" s="118">
        <f t="shared" si="124"/>
        <v>124.38345729577973</v>
      </c>
      <c r="AE92" s="85">
        <f t="shared" si="101"/>
        <v>2.1709008648251187</v>
      </c>
      <c r="AF92" s="72">
        <f t="shared" si="102"/>
        <v>-3.3872268221171558</v>
      </c>
      <c r="AG92" s="75">
        <f t="shared" si="103"/>
        <v>3.3266662270294907</v>
      </c>
      <c r="AH92" s="87" t="s">
        <v>36</v>
      </c>
      <c r="AI92" s="87" t="s">
        <v>36</v>
      </c>
      <c r="AJ92" s="75">
        <f t="shared" si="104"/>
        <v>0.97069178876467443</v>
      </c>
      <c r="AK92" s="75">
        <f t="shared" si="105"/>
        <v>4.8353276768486397</v>
      </c>
      <c r="AL92" s="75">
        <f t="shared" si="106"/>
        <v>0.36657549080287066</v>
      </c>
      <c r="AM92" s="75">
        <f t="shared" si="107"/>
        <v>1.0990916970663873</v>
      </c>
      <c r="AN92" s="75">
        <f t="shared" si="108"/>
        <v>1.6759254657205354</v>
      </c>
      <c r="AO92" s="75">
        <f t="shared" si="109"/>
        <v>-0.70523367695586092</v>
      </c>
      <c r="AP92" s="75">
        <f t="shared" si="110"/>
        <v>1.8043253740222476</v>
      </c>
      <c r="AQ92" s="75">
        <f t="shared" si="111"/>
        <v>0.76542087306597228</v>
      </c>
      <c r="AR92" s="88">
        <f t="shared" si="112"/>
        <v>-7.2570055830737239</v>
      </c>
      <c r="AS92" s="88">
        <f t="shared" si="113"/>
        <v>-8.7448740707025365</v>
      </c>
      <c r="AT92" s="75">
        <f t="shared" si="114"/>
        <v>8.0603970125546542</v>
      </c>
      <c r="AU92" s="75">
        <f t="shared" si="115"/>
        <v>-0.19982864507299022</v>
      </c>
      <c r="AV92" s="75">
        <f t="shared" si="116"/>
        <v>9.6770036427948138</v>
      </c>
      <c r="AW92" s="72">
        <f t="shared" si="117"/>
        <v>0.61976285178244572</v>
      </c>
      <c r="AX92" s="90"/>
      <c r="AY92" s="90"/>
    </row>
    <row r="93" spans="1:52">
      <c r="A93" s="55"/>
      <c r="B93" s="57">
        <f t="shared" si="118"/>
        <v>90</v>
      </c>
      <c r="C93" s="70">
        <f t="shared" si="119"/>
        <v>2.1935856544425407</v>
      </c>
      <c r="D93" s="71">
        <f t="shared" si="81"/>
        <v>125.68320000000021</v>
      </c>
      <c r="E93" s="72">
        <f t="shared" si="82"/>
        <v>-3.4144734938313261</v>
      </c>
      <c r="F93" s="70">
        <f t="shared" si="83"/>
        <v>3.3565542094364411</v>
      </c>
      <c r="G93" s="73">
        <f t="shared" si="84"/>
        <v>-1.1723509665273468E-6</v>
      </c>
      <c r="H93" s="73">
        <f t="shared" si="85"/>
        <v>1.3241856984258504E-6</v>
      </c>
      <c r="I93" s="70">
        <f t="shared" si="86"/>
        <v>0.94800699914725239</v>
      </c>
      <c r="J93" s="70">
        <f t="shared" si="87"/>
        <v>4.7891256489580227</v>
      </c>
      <c r="K93" s="70">
        <f t="shared" si="88"/>
        <v>0.36416404135104385</v>
      </c>
      <c r="L93" s="70">
        <f t="shared" si="89"/>
        <v>1.1090358008977224</v>
      </c>
      <c r="M93" s="70">
        <f t="shared" si="90"/>
        <v>1.6683928113410267</v>
      </c>
      <c r="N93" s="70">
        <f t="shared" si="125"/>
        <v>-0.72038581219377429</v>
      </c>
      <c r="O93" s="70">
        <f t="shared" si="92"/>
        <v>1.8294216130914966</v>
      </c>
      <c r="P93" s="70">
        <f t="shared" si="93"/>
        <v>0.77025842764394115</v>
      </c>
      <c r="Q93" s="73">
        <f t="shared" si="94"/>
        <v>-7.0183854892126254</v>
      </c>
      <c r="R93" s="73">
        <f t="shared" si="95"/>
        <v>-8.5995040640817262</v>
      </c>
      <c r="S93" s="70">
        <f t="shared" si="96"/>
        <v>8.0603970125546542</v>
      </c>
      <c r="T93" s="70">
        <f t="shared" si="97"/>
        <v>-0.19982864507299022</v>
      </c>
      <c r="U93" s="70">
        <f t="shared" si="98"/>
        <v>9.7128823338203425</v>
      </c>
      <c r="V93" s="72">
        <f t="shared" si="99"/>
        <v>0.59515280066330245</v>
      </c>
      <c r="W93" s="74">
        <f t="shared" si="120"/>
        <v>148.95069441853852</v>
      </c>
      <c r="X93" s="62"/>
      <c r="Y93" s="44">
        <f t="shared" si="121"/>
        <v>1.4732001670472696</v>
      </c>
      <c r="Z93" s="45">
        <f t="shared" si="126"/>
        <v>84.408151949776396</v>
      </c>
      <c r="AA93" s="46">
        <f t="shared" si="122"/>
        <v>84.408151949776396</v>
      </c>
      <c r="AB93" s="47">
        <f t="shared" si="123"/>
        <v>3.2479850342603811E-7</v>
      </c>
      <c r="AC93" s="48">
        <f>(Fx*G93+Fy*H93)/Data!AB93</f>
        <v>162.63354436106002</v>
      </c>
      <c r="AD93" s="118">
        <f t="shared" si="124"/>
        <v>125.68325729577973</v>
      </c>
      <c r="AE93" s="85">
        <f t="shared" si="101"/>
        <v>2.1935866544425409</v>
      </c>
      <c r="AF93" s="72">
        <f t="shared" si="102"/>
        <v>-3.4144746661822927</v>
      </c>
      <c r="AG93" s="75">
        <f t="shared" si="103"/>
        <v>3.3565555336221395</v>
      </c>
      <c r="AH93" s="87" t="s">
        <v>36</v>
      </c>
      <c r="AI93" s="87" t="s">
        <v>36</v>
      </c>
      <c r="AJ93" s="75">
        <f t="shared" si="104"/>
        <v>0.94800599914725225</v>
      </c>
      <c r="AK93" s="75">
        <f t="shared" si="105"/>
        <v>4.7891236187991195</v>
      </c>
      <c r="AL93" s="75">
        <f t="shared" si="106"/>
        <v>0.36416392920530738</v>
      </c>
      <c r="AM93" s="75">
        <f t="shared" si="107"/>
        <v>1.1090362378419623</v>
      </c>
      <c r="AN93" s="75">
        <f t="shared" si="108"/>
        <v>1.6683924865425235</v>
      </c>
      <c r="AO93" s="75">
        <f t="shared" si="109"/>
        <v>-0.72038648739527122</v>
      </c>
      <c r="AP93" s="75">
        <f t="shared" si="110"/>
        <v>1.829422725237233</v>
      </c>
      <c r="AQ93" s="75">
        <f t="shared" si="111"/>
        <v>0.7702586385999376</v>
      </c>
      <c r="AR93" s="88">
        <f t="shared" si="112"/>
        <v>-7.0183750502899267</v>
      </c>
      <c r="AS93" s="88">
        <f t="shared" si="113"/>
        <v>-8.5994977224665892</v>
      </c>
      <c r="AT93" s="75">
        <f t="shared" si="114"/>
        <v>8.0603970125546542</v>
      </c>
      <c r="AU93" s="75">
        <f t="shared" si="115"/>
        <v>-0.19982864507299022</v>
      </c>
      <c r="AV93" s="75">
        <f t="shared" si="116"/>
        <v>9.7128838915518916</v>
      </c>
      <c r="AW93" s="72">
        <f t="shared" si="117"/>
        <v>0.5951517144412608</v>
      </c>
      <c r="AX93" s="90"/>
    </row>
    <row r="94" spans="1:52">
      <c r="A94" s="55"/>
      <c r="B94" s="57">
        <f t="shared" si="118"/>
        <v>91</v>
      </c>
      <c r="C94" s="70">
        <f t="shared" si="119"/>
        <v>2.2162714440599629</v>
      </c>
      <c r="D94" s="71">
        <f t="shared" si="81"/>
        <v>126.9830000000002</v>
      </c>
      <c r="E94" s="72">
        <f t="shared" si="82"/>
        <v>-3.440399190232367</v>
      </c>
      <c r="F94" s="70">
        <f t="shared" si="83"/>
        <v>3.3867569643104898</v>
      </c>
      <c r="G94" s="73">
        <f t="shared" si="84"/>
        <v>-1.1128816979066869E-6</v>
      </c>
      <c r="H94" s="73">
        <f t="shared" si="85"/>
        <v>1.3387734623115932E-6</v>
      </c>
      <c r="I94" s="70">
        <f t="shared" si="86"/>
        <v>0.92532120952983021</v>
      </c>
      <c r="J94" s="70">
        <f t="shared" si="87"/>
        <v>4.7432290478596855</v>
      </c>
      <c r="K94" s="70">
        <f t="shared" si="88"/>
        <v>0.36148539996408457</v>
      </c>
      <c r="L94" s="70">
        <f t="shared" si="89"/>
        <v>1.1189145675507521</v>
      </c>
      <c r="M94" s="70">
        <f t="shared" si="90"/>
        <v>1.6611926860749564</v>
      </c>
      <c r="N94" s="70">
        <f t="shared" si="125"/>
        <v>-0.73587147654512619</v>
      </c>
      <c r="O94" s="70">
        <f t="shared" si="92"/>
        <v>1.8547860440958779</v>
      </c>
      <c r="P94" s="70">
        <f t="shared" si="93"/>
        <v>0.7749913495329217</v>
      </c>
      <c r="Q94" s="73">
        <f t="shared" si="94"/>
        <v>-6.7833932063728293</v>
      </c>
      <c r="R94" s="73">
        <f t="shared" si="95"/>
        <v>-8.4571583703235387</v>
      </c>
      <c r="S94" s="70">
        <f t="shared" si="96"/>
        <v>8.0603970125546542</v>
      </c>
      <c r="T94" s="70">
        <f t="shared" si="97"/>
        <v>-0.19982864507299022</v>
      </c>
      <c r="U94" s="70">
        <f t="shared" si="98"/>
        <v>9.7476674180085841</v>
      </c>
      <c r="V94" s="72">
        <f t="shared" si="99"/>
        <v>0.57047857198425977</v>
      </c>
      <c r="W94" s="74">
        <f t="shared" si="120"/>
        <v>150.67514571384402</v>
      </c>
      <c r="X94" s="78"/>
      <c r="Y94" s="44">
        <f t="shared" si="121"/>
        <v>1.4804002774070379</v>
      </c>
      <c r="Z94" s="45">
        <f t="shared" si="126"/>
        <v>84.820687885419545</v>
      </c>
      <c r="AA94" s="46">
        <f t="shared" si="122"/>
        <v>84.820687885419545</v>
      </c>
      <c r="AB94" s="47">
        <f t="shared" si="123"/>
        <v>3.0989220123345262E-7</v>
      </c>
      <c r="AC94" s="48">
        <f>(Fx*G94+Fy*H94)/Data!AB94</f>
        <v>174.2812777693207</v>
      </c>
      <c r="AD94" s="118">
        <f t="shared" si="124"/>
        <v>126.98305729577972</v>
      </c>
      <c r="AE94" s="85">
        <f t="shared" si="101"/>
        <v>2.216272444059963</v>
      </c>
      <c r="AF94" s="72">
        <f t="shared" si="102"/>
        <v>-3.4404003031140649</v>
      </c>
      <c r="AG94" s="75">
        <f t="shared" si="103"/>
        <v>3.3867583030839521</v>
      </c>
      <c r="AH94" s="87" t="s">
        <v>36</v>
      </c>
      <c r="AI94" s="87" t="s">
        <v>36</v>
      </c>
      <c r="AJ94" s="75">
        <f t="shared" si="104"/>
        <v>0.92532020952983007</v>
      </c>
      <c r="AK94" s="75">
        <f t="shared" si="105"/>
        <v>4.7432270319750716</v>
      </c>
      <c r="AL94" s="75">
        <f t="shared" si="106"/>
        <v>0.36148527591449975</v>
      </c>
      <c r="AM94" s="75">
        <f t="shared" si="107"/>
        <v>1.1189150014925382</v>
      </c>
      <c r="AN94" s="75">
        <f t="shared" si="108"/>
        <v>1.6611923761827552</v>
      </c>
      <c r="AO94" s="75">
        <f t="shared" si="109"/>
        <v>-0.7358721666529251</v>
      </c>
      <c r="AP94" s="75">
        <f t="shared" si="110"/>
        <v>1.8547871681454629</v>
      </c>
      <c r="AQ94" s="75">
        <f t="shared" si="111"/>
        <v>0.77499155581977108</v>
      </c>
      <c r="AR94" s="88">
        <f t="shared" si="112"/>
        <v>-6.7833829283298339</v>
      </c>
      <c r="AS94" s="88">
        <f t="shared" si="113"/>
        <v>-8.4571521627799733</v>
      </c>
      <c r="AT94" s="75">
        <f t="shared" si="114"/>
        <v>8.0603970125546542</v>
      </c>
      <c r="AU94" s="75">
        <f t="shared" si="115"/>
        <v>-0.19982864507299022</v>
      </c>
      <c r="AV94" s="75">
        <f t="shared" si="116"/>
        <v>9.7476689267063126</v>
      </c>
      <c r="AW94" s="72">
        <f t="shared" si="117"/>
        <v>0.57047748286482891</v>
      </c>
      <c r="AX94" s="90"/>
    </row>
    <row r="95" spans="1:52">
      <c r="A95" s="55"/>
      <c r="B95" s="57">
        <f t="shared" si="118"/>
        <v>92</v>
      </c>
      <c r="C95" s="70">
        <f t="shared" si="119"/>
        <v>2.2389572336773851</v>
      </c>
      <c r="D95" s="71">
        <f t="shared" si="81"/>
        <v>128.28280000000018</v>
      </c>
      <c r="E95" s="72">
        <f t="shared" si="82"/>
        <v>-3.4649485267909901</v>
      </c>
      <c r="F95" s="70">
        <f t="shared" si="83"/>
        <v>3.4173080044852795</v>
      </c>
      <c r="G95" s="73">
        <f t="shared" si="84"/>
        <v>-1.0510019734510934E-6</v>
      </c>
      <c r="H95" s="73">
        <f t="shared" si="85"/>
        <v>1.3548875532620741E-6</v>
      </c>
      <c r="I95" s="70">
        <f t="shared" si="86"/>
        <v>0.90263541991240803</v>
      </c>
      <c r="J95" s="70">
        <f t="shared" si="87"/>
        <v>4.697672892551874</v>
      </c>
      <c r="K95" s="70">
        <f t="shared" si="88"/>
        <v>0.35853377348942783</v>
      </c>
      <c r="L95" s="70">
        <f t="shared" si="89"/>
        <v>1.1287227971231659</v>
      </c>
      <c r="M95" s="70">
        <f t="shared" si="90"/>
        <v>1.6543360829771996</v>
      </c>
      <c r="N95" s="70">
        <f t="shared" si="125"/>
        <v>-0.75170066306479155</v>
      </c>
      <c r="O95" s="70">
        <f t="shared" si="92"/>
        <v>1.8804234601879573</v>
      </c>
      <c r="P95" s="70">
        <f t="shared" si="93"/>
        <v>0.77961728988772194</v>
      </c>
      <c r="Q95" s="73">
        <f t="shared" si="94"/>
        <v>-6.5520613751748265</v>
      </c>
      <c r="R95" s="73">
        <f t="shared" si="95"/>
        <v>-8.31786552449576</v>
      </c>
      <c r="S95" s="70">
        <f t="shared" si="96"/>
        <v>8.0603970125546542</v>
      </c>
      <c r="T95" s="70">
        <f t="shared" si="97"/>
        <v>-0.19982864507299022</v>
      </c>
      <c r="U95" s="70">
        <f t="shared" si="98"/>
        <v>9.7813227886747249</v>
      </c>
      <c r="V95" s="72">
        <f t="shared" si="99"/>
        <v>0.54573597774096849</v>
      </c>
      <c r="W95" s="74">
        <f t="shared" si="120"/>
        <v>152.40910831215024</v>
      </c>
      <c r="X95" s="62"/>
      <c r="Y95" s="44">
        <f t="shared" si="121"/>
        <v>1.4872568651243798</v>
      </c>
      <c r="Z95" s="45">
        <f t="shared" si="126"/>
        <v>85.213541423484486</v>
      </c>
      <c r="AA95" s="46">
        <f t="shared" si="122"/>
        <v>85.213541423484486</v>
      </c>
      <c r="AB95" s="47">
        <f t="shared" si="123"/>
        <v>2.9451178606976214E-7</v>
      </c>
      <c r="AC95" s="48">
        <f>(Fx*G95+Fy*H95)/Data!AB95</f>
        <v>187.7205979542691</v>
      </c>
      <c r="AD95" s="118">
        <f t="shared" si="124"/>
        <v>128.28285729577971</v>
      </c>
      <c r="AE95" s="85">
        <f t="shared" si="101"/>
        <v>2.2389582336773852</v>
      </c>
      <c r="AF95" s="72">
        <f t="shared" si="102"/>
        <v>-3.4649495777929635</v>
      </c>
      <c r="AG95" s="75">
        <f t="shared" si="103"/>
        <v>3.4173093593728328</v>
      </c>
      <c r="AH95" s="87" t="s">
        <v>36</v>
      </c>
      <c r="AI95" s="87" t="s">
        <v>36</v>
      </c>
      <c r="AJ95" s="75">
        <f t="shared" si="104"/>
        <v>0.90263441991240789</v>
      </c>
      <c r="AK95" s="75">
        <f t="shared" si="105"/>
        <v>4.6976708924130133</v>
      </c>
      <c r="AL95" s="75">
        <f t="shared" si="106"/>
        <v>0.3585336372775878</v>
      </c>
      <c r="AM95" s="75">
        <f t="shared" si="107"/>
        <v>1.128723227846792</v>
      </c>
      <c r="AN95" s="75">
        <f t="shared" si="108"/>
        <v>1.6543357884654135</v>
      </c>
      <c r="AO95" s="75">
        <f t="shared" si="109"/>
        <v>-0.75170136855300562</v>
      </c>
      <c r="AP95" s="75">
        <f t="shared" si="110"/>
        <v>1.880424596399797</v>
      </c>
      <c r="AQ95" s="75">
        <f t="shared" si="111"/>
        <v>0.77961749141252434</v>
      </c>
      <c r="AR95" s="88">
        <f t="shared" si="112"/>
        <v>-6.5520512589485014</v>
      </c>
      <c r="AS95" s="88">
        <f t="shared" si="113"/>
        <v>-8.3178594520351421</v>
      </c>
      <c r="AT95" s="75">
        <f t="shared" si="114"/>
        <v>8.0603970125546542</v>
      </c>
      <c r="AU95" s="75">
        <f t="shared" si="115"/>
        <v>-0.19982864507299022</v>
      </c>
      <c r="AV95" s="75">
        <f t="shared" si="116"/>
        <v>9.78132424680547</v>
      </c>
      <c r="AW95" s="72">
        <f t="shared" si="117"/>
        <v>0.54573488549176274</v>
      </c>
      <c r="AX95" s="90"/>
    </row>
    <row r="96" spans="1:52">
      <c r="A96" s="55"/>
      <c r="B96" s="57">
        <f t="shared" si="118"/>
        <v>93</v>
      </c>
      <c r="C96" s="70">
        <f t="shared" si="119"/>
        <v>2.2616430232948073</v>
      </c>
      <c r="D96" s="71">
        <f t="shared" si="81"/>
        <v>129.58260000000018</v>
      </c>
      <c r="E96" s="72">
        <f t="shared" si="82"/>
        <v>-3.4880662953570836</v>
      </c>
      <c r="F96" s="70">
        <f t="shared" si="83"/>
        <v>3.4482416957124324</v>
      </c>
      <c r="G96" s="73">
        <f t="shared" si="84"/>
        <v>-9.8666560255367131E-7</v>
      </c>
      <c r="H96" s="73">
        <f t="shared" si="85"/>
        <v>1.3725036009937241E-6</v>
      </c>
      <c r="I96" s="70">
        <f t="shared" si="86"/>
        <v>0.87994963029498585</v>
      </c>
      <c r="J96" s="70">
        <f t="shared" si="87"/>
        <v>4.6524909705651432</v>
      </c>
      <c r="K96" s="70">
        <f t="shared" si="88"/>
        <v>0.35530333973962236</v>
      </c>
      <c r="L96" s="70">
        <f t="shared" si="89"/>
        <v>1.1384554586227424</v>
      </c>
      <c r="M96" s="70">
        <f t="shared" si="90"/>
        <v>1.6478338552274283</v>
      </c>
      <c r="N96" s="70">
        <f t="shared" si="125"/>
        <v>-0.76788422493244246</v>
      </c>
      <c r="O96" s="70">
        <f t="shared" si="92"/>
        <v>1.9063396835551849</v>
      </c>
      <c r="P96" s="70">
        <f t="shared" si="93"/>
        <v>0.78413416993899232</v>
      </c>
      <c r="Q96" s="73">
        <f t="shared" si="94"/>
        <v>-6.3244103446672746</v>
      </c>
      <c r="R96" s="73">
        <f t="shared" si="95"/>
        <v>-8.1816493044323337</v>
      </c>
      <c r="S96" s="70">
        <f t="shared" si="96"/>
        <v>8.0603970125546542</v>
      </c>
      <c r="T96" s="70">
        <f t="shared" si="97"/>
        <v>-0.19982864507299022</v>
      </c>
      <c r="U96" s="70">
        <f t="shared" si="98"/>
        <v>9.8138133791063407</v>
      </c>
      <c r="V96" s="72">
        <f t="shared" si="99"/>
        <v>0.52091974866916946</v>
      </c>
      <c r="W96" s="74">
        <f t="shared" si="120"/>
        <v>154.15279669551535</v>
      </c>
      <c r="X96" s="78"/>
      <c r="Y96" s="44">
        <f t="shared" si="121"/>
        <v>1.4937590770111264</v>
      </c>
      <c r="Z96" s="45">
        <f t="shared" si="126"/>
        <v>85.586090722094852</v>
      </c>
      <c r="AA96" s="46">
        <f t="shared" si="122"/>
        <v>85.586090722094852</v>
      </c>
      <c r="AB96" s="47">
        <f t="shared" si="123"/>
        <v>2.786487616202038E-7</v>
      </c>
      <c r="AC96" s="48">
        <f>(Fx*G96+Fy*H96)/Data!AB96</f>
        <v>203.32020805074941</v>
      </c>
      <c r="AD96" s="118">
        <f t="shared" si="124"/>
        <v>129.58265729577971</v>
      </c>
      <c r="AE96" s="85">
        <f t="shared" si="101"/>
        <v>2.2616440232948074</v>
      </c>
      <c r="AF96" s="72">
        <f t="shared" si="102"/>
        <v>-3.4880672820226861</v>
      </c>
      <c r="AG96" s="75">
        <f t="shared" si="103"/>
        <v>3.4482430682160334</v>
      </c>
      <c r="AH96" s="87" t="s">
        <v>36</v>
      </c>
      <c r="AI96" s="87" t="s">
        <v>36</v>
      </c>
      <c r="AJ96" s="75">
        <f t="shared" si="104"/>
        <v>0.87994863029498571</v>
      </c>
      <c r="AK96" s="75">
        <f t="shared" si="105"/>
        <v>4.6524889876793241</v>
      </c>
      <c r="AL96" s="75">
        <f t="shared" si="106"/>
        <v>0.3553031911108413</v>
      </c>
      <c r="AM96" s="75">
        <f t="shared" si="107"/>
        <v>1.1384558859002851</v>
      </c>
      <c r="AN96" s="75">
        <f t="shared" si="108"/>
        <v>1.6478335765786669</v>
      </c>
      <c r="AO96" s="75">
        <f t="shared" si="109"/>
        <v>-0.7678849462836812</v>
      </c>
      <c r="AP96" s="75">
        <f t="shared" si="110"/>
        <v>1.9063408321839659</v>
      </c>
      <c r="AQ96" s="75">
        <f t="shared" si="111"/>
        <v>0.78413436661144864</v>
      </c>
      <c r="AR96" s="88">
        <f t="shared" si="112"/>
        <v>-6.3244003911119888</v>
      </c>
      <c r="AS96" s="88">
        <f t="shared" si="113"/>
        <v>-8.1816433681385341</v>
      </c>
      <c r="AT96" s="75">
        <f t="shared" si="114"/>
        <v>8.0603970125546542</v>
      </c>
      <c r="AU96" s="75">
        <f t="shared" si="115"/>
        <v>-0.19982864507299022</v>
      </c>
      <c r="AV96" s="75">
        <f t="shared" si="116"/>
        <v>9.8138147851116315</v>
      </c>
      <c r="AW96" s="72">
        <f t="shared" si="117"/>
        <v>0.52091865305810003</v>
      </c>
      <c r="AX96" s="90"/>
    </row>
    <row r="97" spans="1:50">
      <c r="A97" s="55"/>
      <c r="B97" s="57">
        <f t="shared" si="118"/>
        <v>94</v>
      </c>
      <c r="C97" s="70">
        <f t="shared" si="119"/>
        <v>2.2843288129122294</v>
      </c>
      <c r="D97" s="71">
        <f t="shared" si="81"/>
        <v>130.88240000000016</v>
      </c>
      <c r="E97" s="72">
        <f t="shared" si="82"/>
        <v>-3.509696248880263</v>
      </c>
      <c r="F97" s="70">
        <f t="shared" si="83"/>
        <v>3.4795917483291907</v>
      </c>
      <c r="G97" s="73">
        <f t="shared" si="84"/>
        <v>-9.1982726857509078E-7</v>
      </c>
      <c r="H97" s="73">
        <f t="shared" si="85"/>
        <v>1.3915880496817579E-6</v>
      </c>
      <c r="I97" s="70">
        <f t="shared" si="86"/>
        <v>0.85726384067756367</v>
      </c>
      <c r="J97" s="70">
        <f t="shared" si="87"/>
        <v>4.6077178824845104</v>
      </c>
      <c r="K97" s="70">
        <f t="shared" si="88"/>
        <v>0.35178837479639702</v>
      </c>
      <c r="L97" s="70">
        <f t="shared" si="89"/>
        <v>1.1481072375425381</v>
      </c>
      <c r="M97" s="70">
        <f t="shared" si="90"/>
        <v>1.641697041250858</v>
      </c>
      <c r="N97" s="70">
        <f t="shared" si="125"/>
        <v>-0.78443320057329435</v>
      </c>
      <c r="O97" s="70">
        <f t="shared" si="92"/>
        <v>1.9325404381158322</v>
      </c>
      <c r="P97" s="70">
        <f t="shared" si="93"/>
        <v>0.78853997452476232</v>
      </c>
      <c r="Q97" s="73">
        <f t="shared" si="94"/>
        <v>-6.1004584102480672</v>
      </c>
      <c r="R97" s="73">
        <f t="shared" si="95"/>
        <v>-8.0485350652273446</v>
      </c>
      <c r="S97" s="70">
        <f t="shared" si="96"/>
        <v>8.0603970125546542</v>
      </c>
      <c r="T97" s="70">
        <f t="shared" si="97"/>
        <v>-0.19982864507299022</v>
      </c>
      <c r="U97" s="70">
        <f t="shared" si="98"/>
        <v>9.8451035409324046</v>
      </c>
      <c r="V97" s="72">
        <f t="shared" si="99"/>
        <v>0.49602462737134667</v>
      </c>
      <c r="W97" s="74">
        <f t="shared" si="120"/>
        <v>155.90642336002256</v>
      </c>
      <c r="X97" s="75"/>
      <c r="Y97" s="44">
        <f t="shared" si="121"/>
        <v>1.4998958746342483</v>
      </c>
      <c r="Z97" s="45">
        <f t="shared" si="126"/>
        <v>85.937703325625662</v>
      </c>
      <c r="AA97" s="46">
        <f t="shared" si="122"/>
        <v>85.937703325625662</v>
      </c>
      <c r="AB97" s="47">
        <f t="shared" si="123"/>
        <v>2.6229531324695188E-7</v>
      </c>
      <c r="AC97" s="48">
        <f>(Fx*G97+Fy*H97)/Data!AB97</f>
        <v>221.56014306684261</v>
      </c>
      <c r="AD97" s="118">
        <f t="shared" si="124"/>
        <v>130.88245729577972</v>
      </c>
      <c r="AE97" s="85">
        <f t="shared" si="101"/>
        <v>2.2843298129122296</v>
      </c>
      <c r="AF97" s="72">
        <f t="shared" si="102"/>
        <v>-3.5096971687075316</v>
      </c>
      <c r="AG97" s="75">
        <f t="shared" si="103"/>
        <v>3.4795931399172404</v>
      </c>
      <c r="AH97" s="87" t="s">
        <v>36</v>
      </c>
      <c r="AI97" s="87" t="s">
        <v>36</v>
      </c>
      <c r="AJ97" s="75">
        <f t="shared" si="104"/>
        <v>0.85726284067756353</v>
      </c>
      <c r="AK97" s="75">
        <f t="shared" si="105"/>
        <v>4.6077159183948524</v>
      </c>
      <c r="AL97" s="75">
        <f t="shared" si="106"/>
        <v>0.35178821350095135</v>
      </c>
      <c r="AM97" s="75">
        <f t="shared" si="107"/>
        <v>1.148107661133297</v>
      </c>
      <c r="AN97" s="75">
        <f t="shared" si="108"/>
        <v>1.641696778955545</v>
      </c>
      <c r="AO97" s="75">
        <f t="shared" si="109"/>
        <v>-0.78443393827798147</v>
      </c>
      <c r="AP97" s="75">
        <f t="shared" si="110"/>
        <v>1.932541599411278</v>
      </c>
      <c r="AQ97" s="75">
        <f t="shared" si="111"/>
        <v>0.7885401662575835</v>
      </c>
      <c r="AR97" s="88">
        <f t="shared" si="112"/>
        <v>-6.1004486201197539</v>
      </c>
      <c r="AS97" s="88">
        <f t="shared" si="113"/>
        <v>-8.0485292662509238</v>
      </c>
      <c r="AT97" s="75">
        <f t="shared" si="114"/>
        <v>8.0603970125546542</v>
      </c>
      <c r="AU97" s="75">
        <f t="shared" si="115"/>
        <v>-0.19982864507299022</v>
      </c>
      <c r="AV97" s="75">
        <f t="shared" si="116"/>
        <v>9.845104893227834</v>
      </c>
      <c r="AW97" s="72">
        <f t="shared" si="117"/>
        <v>0.4960235281670855</v>
      </c>
      <c r="AX97" s="90"/>
    </row>
    <row r="98" spans="1:50">
      <c r="A98" s="55"/>
      <c r="B98" s="57">
        <f t="shared" si="118"/>
        <v>95</v>
      </c>
      <c r="C98" s="70">
        <f t="shared" si="119"/>
        <v>2.3070146025296516</v>
      </c>
      <c r="D98" s="71">
        <f t="shared" si="81"/>
        <v>132.18220000000017</v>
      </c>
      <c r="E98" s="72">
        <f t="shared" si="82"/>
        <v>-3.5297811269841022</v>
      </c>
      <c r="F98" s="70">
        <f t="shared" si="83"/>
        <v>3.5113910023645647</v>
      </c>
      <c r="G98" s="73">
        <f t="shared" si="84"/>
        <v>-8.504430546452113E-7</v>
      </c>
      <c r="H98" s="73">
        <f t="shared" si="85"/>
        <v>1.4120975744269515E-6</v>
      </c>
      <c r="I98" s="70">
        <f t="shared" si="86"/>
        <v>0.83457805106014149</v>
      </c>
      <c r="J98" s="70">
        <f t="shared" si="87"/>
        <v>4.5633890402231136</v>
      </c>
      <c r="K98" s="70">
        <f t="shared" si="88"/>
        <v>0.34798328243450904</v>
      </c>
      <c r="L98" s="70">
        <f t="shared" si="89"/>
        <v>1.1576725234278327</v>
      </c>
      <c r="M98" s="70">
        <f t="shared" si="90"/>
        <v>1.6359368477274516</v>
      </c>
      <c r="N98" s="70">
        <f t="shared" si="125"/>
        <v>-0.80135879666731014</v>
      </c>
      <c r="O98" s="70">
        <f t="shared" si="92"/>
        <v>1.9590313200951424</v>
      </c>
      <c r="P98" s="70">
        <f t="shared" si="93"/>
        <v>0.79283276166774208</v>
      </c>
      <c r="Q98" s="73">
        <f t="shared" si="94"/>
        <v>-5.8802214553891128</v>
      </c>
      <c r="R98" s="73">
        <f t="shared" si="95"/>
        <v>-7.9185496162659854</v>
      </c>
      <c r="S98" s="70">
        <f t="shared" si="96"/>
        <v>8.0603970125546542</v>
      </c>
      <c r="T98" s="70">
        <f t="shared" si="97"/>
        <v>-0.19982864507299022</v>
      </c>
      <c r="U98" s="70">
        <f t="shared" si="98"/>
        <v>9.8751570328536431</v>
      </c>
      <c r="V98" s="72">
        <f t="shared" si="99"/>
        <v>0.47104537928147083</v>
      </c>
      <c r="W98" s="74">
        <f t="shared" si="120"/>
        <v>157.67019767865696</v>
      </c>
      <c r="X98" s="78"/>
      <c r="Y98" s="44">
        <f t="shared" si="121"/>
        <v>1.5056560513067863</v>
      </c>
      <c r="Z98" s="45">
        <f t="shared" si="126"/>
        <v>86.267737138211785</v>
      </c>
      <c r="AA98" s="46">
        <f t="shared" si="122"/>
        <v>86.267737138211785</v>
      </c>
      <c r="AB98" s="47">
        <f t="shared" si="123"/>
        <v>2.4544444454654979E-7</v>
      </c>
      <c r="AC98" s="48">
        <f>(Fx*G98+Fy*H98)/Data!AB98</f>
        <v>243.07755505683377</v>
      </c>
      <c r="AD98" s="118">
        <f t="shared" si="124"/>
        <v>132.18225729577969</v>
      </c>
      <c r="AE98" s="85">
        <f t="shared" si="101"/>
        <v>2.3070156025296518</v>
      </c>
      <c r="AF98" s="72">
        <f t="shared" si="102"/>
        <v>-3.5297819774271568</v>
      </c>
      <c r="AG98" s="75">
        <f t="shared" si="103"/>
        <v>3.5113924144621391</v>
      </c>
      <c r="AH98" s="87" t="s">
        <v>36</v>
      </c>
      <c r="AI98" s="87" t="s">
        <v>36</v>
      </c>
      <c r="AJ98" s="75">
        <f t="shared" si="104"/>
        <v>0.83457705106014135</v>
      </c>
      <c r="AK98" s="75">
        <f t="shared" si="105"/>
        <v>4.5633870965084062</v>
      </c>
      <c r="AL98" s="75">
        <f t="shared" si="106"/>
        <v>0.34798310822899081</v>
      </c>
      <c r="AM98" s="75">
        <f t="shared" si="107"/>
        <v>1.1576729430777954</v>
      </c>
      <c r="AN98" s="75">
        <f t="shared" si="108"/>
        <v>1.6359366022830069</v>
      </c>
      <c r="AO98" s="75">
        <f t="shared" si="109"/>
        <v>-0.80135955122286551</v>
      </c>
      <c r="AP98" s="75">
        <f t="shared" si="110"/>
        <v>1.9590324943006607</v>
      </c>
      <c r="AQ98" s="75">
        <f t="shared" si="111"/>
        <v>0.79283294837708407</v>
      </c>
      <c r="AR98" s="88">
        <f t="shared" si="112"/>
        <v>-5.8802118293295162</v>
      </c>
      <c r="AS98" s="88">
        <f t="shared" si="113"/>
        <v>-7.9185439558191515</v>
      </c>
      <c r="AT98" s="75">
        <f t="shared" si="114"/>
        <v>8.0603970125546542</v>
      </c>
      <c r="AU98" s="75">
        <f t="shared" si="115"/>
        <v>-0.19982864507299022</v>
      </c>
      <c r="AV98" s="75">
        <f t="shared" si="116"/>
        <v>9.8751583298285102</v>
      </c>
      <c r="AW98" s="72">
        <f t="shared" si="117"/>
        <v>0.47104427625395506</v>
      </c>
      <c r="AX98" s="90"/>
    </row>
    <row r="99" spans="1:50">
      <c r="A99" s="55"/>
      <c r="B99" s="57">
        <f t="shared" si="118"/>
        <v>96</v>
      </c>
      <c r="C99" s="70">
        <f t="shared" si="119"/>
        <v>2.3297003921470738</v>
      </c>
      <c r="D99" s="71">
        <f t="shared" si="81"/>
        <v>133.48200000000017</v>
      </c>
      <c r="E99" s="72">
        <f t="shared" si="82"/>
        <v>-3.5482626948058185</v>
      </c>
      <c r="F99" s="70">
        <f t="shared" si="83"/>
        <v>3.5436711942489878</v>
      </c>
      <c r="G99" s="73">
        <f t="shared" si="84"/>
        <v>-7.7847107426975981E-7</v>
      </c>
      <c r="H99" s="73">
        <f t="shared" si="85"/>
        <v>1.4339780949335079E-6</v>
      </c>
      <c r="I99" s="70">
        <f t="shared" si="86"/>
        <v>0.81189226144271931</v>
      </c>
      <c r="J99" s="70">
        <f t="shared" si="87"/>
        <v>4.5195406616094838</v>
      </c>
      <c r="K99" s="70">
        <f t="shared" si="88"/>
        <v>0.34388262627655064</v>
      </c>
      <c r="L99" s="70">
        <f t="shared" si="89"/>
        <v>1.1671453978528743</v>
      </c>
      <c r="M99" s="70">
        <f t="shared" si="90"/>
        <v>1.6305646294603684</v>
      </c>
      <c r="N99" s="70">
        <f t="shared" si="125"/>
        <v>-0.81867236801764909</v>
      </c>
      <c r="O99" s="70">
        <f t="shared" si="92"/>
        <v>1.9858177658705232</v>
      </c>
      <c r="P99" s="70">
        <f t="shared" si="93"/>
        <v>0.79701067262568071</v>
      </c>
      <c r="Q99" s="73">
        <f t="shared" si="94"/>
        <v>-5.6637125945095006</v>
      </c>
      <c r="R99" s="73">
        <f t="shared" si="95"/>
        <v>-7.7917211152013142</v>
      </c>
      <c r="S99" s="70">
        <f t="shared" si="96"/>
        <v>8.0603970125546542</v>
      </c>
      <c r="T99" s="70">
        <f t="shared" si="97"/>
        <v>-0.19982864507299022</v>
      </c>
      <c r="U99" s="70">
        <f t="shared" si="98"/>
        <v>9.9039370154038764</v>
      </c>
      <c r="V99" s="72">
        <f t="shared" si="99"/>
        <v>0.4459768051441797</v>
      </c>
      <c r="W99" s="74">
        <f t="shared" si="120"/>
        <v>159.44432463481368</v>
      </c>
      <c r="X99" s="78"/>
      <c r="Y99" s="44">
        <f t="shared" si="121"/>
        <v>1.5110282522195437</v>
      </c>
      <c r="Z99" s="45">
        <f t="shared" si="126"/>
        <v>86.575541577209123</v>
      </c>
      <c r="AA99" s="46">
        <f t="shared" si="122"/>
        <v>86.575541577209123</v>
      </c>
      <c r="AB99" s="47">
        <f t="shared" si="123"/>
        <v>2.2809011879232344E-7</v>
      </c>
      <c r="AC99" s="48">
        <f>(Fx*G99+Fy*H99)/Data!AB99</f>
        <v>268.73703385529819</v>
      </c>
      <c r="AD99" s="118">
        <f t="shared" si="124"/>
        <v>133.4820572957797</v>
      </c>
      <c r="AE99" s="85">
        <f t="shared" si="101"/>
        <v>2.3297013921470739</v>
      </c>
      <c r="AF99" s="72">
        <f t="shared" si="102"/>
        <v>-3.5482634732768927</v>
      </c>
      <c r="AG99" s="75">
        <f t="shared" si="103"/>
        <v>3.5436726282270827</v>
      </c>
      <c r="AH99" s="87" t="s">
        <v>36</v>
      </c>
      <c r="AI99" s="87" t="s">
        <v>36</v>
      </c>
      <c r="AJ99" s="75">
        <f t="shared" si="104"/>
        <v>0.81189126144271917</v>
      </c>
      <c r="AK99" s="75">
        <f t="shared" si="105"/>
        <v>4.519538739883866</v>
      </c>
      <c r="AL99" s="75">
        <f t="shared" si="106"/>
        <v>0.34388243892534853</v>
      </c>
      <c r="AM99" s="75">
        <f t="shared" si="107"/>
        <v>1.1671458132941952</v>
      </c>
      <c r="AN99" s="75">
        <f t="shared" si="108"/>
        <v>1.6305644013702496</v>
      </c>
      <c r="AO99" s="75">
        <f t="shared" si="109"/>
        <v>-0.81867313992753044</v>
      </c>
      <c r="AP99" s="75">
        <f t="shared" si="110"/>
        <v>1.9858189532217252</v>
      </c>
      <c r="AQ99" s="75">
        <f t="shared" si="111"/>
        <v>0.79701085423159657</v>
      </c>
      <c r="AR99" s="88">
        <f t="shared" si="112"/>
        <v>-5.6637031330304239</v>
      </c>
      <c r="AS99" s="88">
        <f t="shared" si="113"/>
        <v>-7.7917155945536063</v>
      </c>
      <c r="AT99" s="75">
        <f t="shared" si="114"/>
        <v>8.0603970125546542</v>
      </c>
      <c r="AU99" s="75">
        <f t="shared" si="115"/>
        <v>-0.19982864507299022</v>
      </c>
      <c r="AV99" s="75">
        <f t="shared" si="116"/>
        <v>9.9039382554210942</v>
      </c>
      <c r="AW99" s="72">
        <f t="shared" si="117"/>
        <v>0.44597569806520299</v>
      </c>
      <c r="AX99" s="90"/>
    </row>
    <row r="100" spans="1:50">
      <c r="A100" s="55"/>
      <c r="B100" s="57">
        <f t="shared" si="118"/>
        <v>97</v>
      </c>
      <c r="C100" s="70">
        <f t="shared" si="119"/>
        <v>2.352386181764496</v>
      </c>
      <c r="D100" s="71">
        <f>C100*180/PI()</f>
        <v>134.78180000000015</v>
      </c>
      <c r="E100" s="72">
        <f t="shared" si="82"/>
        <v>-3.565081797141759</v>
      </c>
      <c r="F100" s="70">
        <f t="shared" si="83"/>
        <v>3.5764627045722865</v>
      </c>
      <c r="G100" s="73">
        <f t="shared" si="84"/>
        <v>-7.0387221029477587E-7</v>
      </c>
      <c r="H100" s="73">
        <f t="shared" si="85"/>
        <v>1.4571639872507092E-6</v>
      </c>
      <c r="I100" s="70">
        <f t="shared" si="86"/>
        <v>0.78920647182529713</v>
      </c>
      <c r="J100" s="70">
        <f>SQRT(a^2+b^2-2*a*b*COS(I100))</f>
        <v>4.4762097608240392</v>
      </c>
      <c r="K100" s="70">
        <f>ACOS((a^2+J100^2-b^2)/(2*a*J100))</f>
        <v>0.33948116476947821</v>
      </c>
      <c r="L100" s="70">
        <f t="shared" si="89"/>
        <v>1.1765196229926487</v>
      </c>
      <c r="M100" s="70">
        <f>PI()-K100-L100</f>
        <v>1.6255918658276662</v>
      </c>
      <c r="N100" s="70">
        <f t="shared" si="125"/>
        <v>-0.83638539400236911</v>
      </c>
      <c r="O100" s="70">
        <f t="shared" si="92"/>
        <v>2.0129050169950173</v>
      </c>
      <c r="P100" s="70">
        <f t="shared" si="93"/>
        <v>0.80107194235757961</v>
      </c>
      <c r="Q100" s="73">
        <f t="shared" si="94"/>
        <v>-5.4509418156389202</v>
      </c>
      <c r="R100" s="73">
        <f t="shared" si="95"/>
        <v>-7.668078978711411</v>
      </c>
      <c r="S100" s="70">
        <f t="shared" si="96"/>
        <v>8.0603970125546542</v>
      </c>
      <c r="T100" s="70">
        <f>ASIN(s/S100)</f>
        <v>-0.19982864507299022</v>
      </c>
      <c r="U100" s="70">
        <f>SQRT(S100^2+b^2-2*S100*b*COS(T100+P100+O100))</f>
        <v>9.9314060527663504</v>
      </c>
      <c r="V100" s="72">
        <f>ACOS((b^2+U100^2-S100^2)/(2*b*U100))*IF(O100+P100+T100&gt;PI(),-1,1)</f>
        <v>0.4208137551283162</v>
      </c>
      <c r="W100" s="74">
        <f t="shared" si="120"/>
        <v>161.2290034179602</v>
      </c>
      <c r="X100" s="78"/>
      <c r="Y100" s="44">
        <f t="shared" si="121"/>
        <v>1.5160009979895444</v>
      </c>
      <c r="Z100" s="45">
        <f t="shared" si="126"/>
        <v>86.860458922421685</v>
      </c>
      <c r="AA100" s="46">
        <f t="shared" si="122"/>
        <v>86.860458922421685</v>
      </c>
      <c r="AB100" s="47">
        <f t="shared" si="123"/>
        <v>2.1022741747422913E-7</v>
      </c>
      <c r="AC100" s="48">
        <f>(Fx*G100+Fy*H100)/Data!AB100</f>
        <v>299.74249474104414</v>
      </c>
      <c r="AD100" s="118">
        <f t="shared" si="124"/>
        <v>134.7818572957797</v>
      </c>
      <c r="AE100" s="85">
        <f t="shared" si="101"/>
        <v>2.3523871817644961</v>
      </c>
      <c r="AF100" s="72">
        <f>AV100*COS(AE100+AW100)+a</f>
        <v>-3.5650825010139693</v>
      </c>
      <c r="AG100" s="75">
        <f t="shared" si="103"/>
        <v>3.5764641617362738</v>
      </c>
      <c r="AH100" s="87" t="s">
        <v>36</v>
      </c>
      <c r="AI100" s="87" t="s">
        <v>36</v>
      </c>
      <c r="AJ100" s="75">
        <f t="shared" si="104"/>
        <v>0.78920547182529699</v>
      </c>
      <c r="AK100" s="75">
        <f>SQRT(a^2+b^2-2*a*b*COS(AJ100))</f>
        <v>4.4762078627364739</v>
      </c>
      <c r="AL100" s="75">
        <f>ACOS((a^2+AK100^2-b^2)/(2*a*AK100))</f>
        <v>0.33948096404638162</v>
      </c>
      <c r="AM100" s="75">
        <f t="shared" si="107"/>
        <v>1.1765200339431627</v>
      </c>
      <c r="AN100" s="75">
        <f>PI()-AL100-AM100</f>
        <v>1.625591655600249</v>
      </c>
      <c r="AO100" s="75">
        <f>IF(ABS(PI()-AN100-AE100)&lt;0.0000000001,0.0000000001,PI()-AN100-AE100)</f>
        <v>-0.836386183774952</v>
      </c>
      <c r="AP100" s="75">
        <f t="shared" si="110"/>
        <v>2.0129062177181138</v>
      </c>
      <c r="AQ100" s="75">
        <f t="shared" si="111"/>
        <v>0.8010721187844887</v>
      </c>
      <c r="AR100" s="88">
        <f t="shared" si="112"/>
        <v>-5.4509325191064688</v>
      </c>
      <c r="AS100" s="88">
        <f t="shared" si="113"/>
        <v>-7.6680735991861582</v>
      </c>
      <c r="AT100" s="75">
        <f t="shared" si="114"/>
        <v>8.0603970125546542</v>
      </c>
      <c r="AU100" s="75">
        <f>ASIN(s/AT100)</f>
        <v>-0.19982864507299022</v>
      </c>
      <c r="AV100" s="75">
        <f>SQRT(AT100^2+b^2-2*AT100*b*COS(AU100+AQ100+AP100))</f>
        <v>9.9314072341627</v>
      </c>
      <c r="AW100" s="72">
        <f>ACOS((b^2+AV100^2-AT100^2)/(2*b*AV100))*IF(AP100+AQ100+AU100&gt;PI(),-1,1)</f>
        <v>0.4208126437721893</v>
      </c>
    </row>
    <row r="101" spans="1:50">
      <c r="A101" s="55"/>
      <c r="B101" s="57">
        <f t="shared" si="118"/>
        <v>98</v>
      </c>
      <c r="C101" s="70">
        <f t="shared" si="119"/>
        <v>2.3750719713819182</v>
      </c>
      <c r="D101" s="71">
        <f>C101*180/PI()</f>
        <v>136.08160000000015</v>
      </c>
      <c r="E101" s="72">
        <f t="shared" si="82"/>
        <v>-3.580178430108</v>
      </c>
      <c r="F101" s="70">
        <f t="shared" si="83"/>
        <v>3.6097942865189858</v>
      </c>
      <c r="G101" s="73">
        <f t="shared" si="84"/>
        <v>-6.2661089827997785E-7</v>
      </c>
      <c r="H101" s="73">
        <f t="shared" si="85"/>
        <v>1.481577280859625E-6</v>
      </c>
      <c r="I101" s="70">
        <f t="shared" si="86"/>
        <v>0.76652068220787495</v>
      </c>
      <c r="J101" s="70">
        <f>SQRT(a^2+b^2-2*a*b*COS(I101))</f>
        <v>4.4334341341929084</v>
      </c>
      <c r="K101" s="70">
        <f>ACOS((a^2+J101^2-b^2)/(2*a*J101))</f>
        <v>0.33477388905096483</v>
      </c>
      <c r="L101" s="70">
        <f t="shared" si="89"/>
        <v>1.1857886310010413</v>
      </c>
      <c r="M101" s="70">
        <f>PI()-K101-L101</f>
        <v>1.6210301335377872</v>
      </c>
      <c r="N101" s="70">
        <f t="shared" si="125"/>
        <v>-0.8545094513299123</v>
      </c>
      <c r="O101" s="70">
        <f t="shared" si="92"/>
        <v>2.0402980823309531</v>
      </c>
      <c r="P101" s="70">
        <f t="shared" si="93"/>
        <v>0.80501491033230677</v>
      </c>
      <c r="Q101" s="73">
        <f t="shared" si="94"/>
        <v>-5.2419156215999969</v>
      </c>
      <c r="R101" s="73">
        <f t="shared" si="95"/>
        <v>-7.5476538100512522</v>
      </c>
      <c r="S101" s="70">
        <f t="shared" si="96"/>
        <v>8.0603970125546542</v>
      </c>
      <c r="T101" s="70">
        <f>ASIN(s/S101)</f>
        <v>-0.19982864507299022</v>
      </c>
      <c r="U101" s="70">
        <f>SQRT(S101^2+b^2-2*S101*b*COS(T101+P101+O101))</f>
        <v>9.9575261227689928</v>
      </c>
      <c r="V101" s="72">
        <f>ACOS((b^2+U101^2-S101^2)/(2*b*U101))*IF(O101+P101+T101&gt;PI(),-1,1)</f>
        <v>0.39555114469302333</v>
      </c>
      <c r="W101" s="74">
        <f t="shared" si="120"/>
        <v>163.02442587334255</v>
      </c>
      <c r="X101" s="78"/>
      <c r="Y101" s="44">
        <f t="shared" si="121"/>
        <v>1.520562711904714</v>
      </c>
      <c r="Z101" s="45">
        <f t="shared" si="126"/>
        <v>87.121825877107014</v>
      </c>
      <c r="AA101" s="46">
        <f t="shared" si="122"/>
        <v>87.121825877107014</v>
      </c>
      <c r="AB101" s="47">
        <f t="shared" si="123"/>
        <v>1.9185270794253029E-7</v>
      </c>
      <c r="AC101" s="48">
        <f>(Fx*G101+Fy*H101)/Data!AB101</f>
        <v>337.82234665046843</v>
      </c>
      <c r="AD101" s="118">
        <f t="shared" si="124"/>
        <v>136.08165729577968</v>
      </c>
      <c r="AE101" s="85">
        <f t="shared" si="101"/>
        <v>2.3750729713819183</v>
      </c>
      <c r="AF101" s="72">
        <f>AV101*COS(AE101+AW101)+a</f>
        <v>-3.5801790567188982</v>
      </c>
      <c r="AG101" s="75">
        <f t="shared" si="103"/>
        <v>3.6097957680962667</v>
      </c>
      <c r="AH101" s="87" t="s">
        <v>36</v>
      </c>
      <c r="AI101" s="87" t="s">
        <v>36</v>
      </c>
      <c r="AJ101" s="75">
        <f t="shared" si="104"/>
        <v>0.76651968220787481</v>
      </c>
      <c r="AK101" s="75">
        <f>SQRT(a^2+b^2-2*a*b*COS(AJ101))</f>
        <v>4.433432261426451</v>
      </c>
      <c r="AL101" s="75">
        <f>ACOS((a^2+AK101^2-b^2)/(2*a*AK101))</f>
        <v>0.33477367474089936</v>
      </c>
      <c r="AM101" s="75">
        <f t="shared" si="107"/>
        <v>1.1857890371638147</v>
      </c>
      <c r="AN101" s="75">
        <f>PI()-AL101-AM101</f>
        <v>1.6210299416850791</v>
      </c>
      <c r="AO101" s="75">
        <f>IF(ABS(PI()-AN101-AE101)&lt;0.0000000001,0.0000000001,PI()-AN101-AE101)</f>
        <v>-0.85451025947720427</v>
      </c>
      <c r="AP101" s="75">
        <f t="shared" si="110"/>
        <v>2.0402992966410185</v>
      </c>
      <c r="AQ101" s="75">
        <f t="shared" si="111"/>
        <v>0.80501508150947731</v>
      </c>
      <c r="AR101" s="88">
        <f t="shared" si="112"/>
        <v>-5.241906490218704</v>
      </c>
      <c r="AS101" s="88">
        <f t="shared" si="113"/>
        <v>-7.5476485730227383</v>
      </c>
      <c r="AT101" s="75">
        <f t="shared" si="114"/>
        <v>8.0603970125546542</v>
      </c>
      <c r="AU101" s="75">
        <f>ASIN(s/AT101)</f>
        <v>-0.19982864507299022</v>
      </c>
      <c r="AV101" s="75">
        <f>SQRT(AT101^2+b^2-2*AT101*b*COS(AU101+AQ101+AP101))</f>
        <v>9.9575272438557647</v>
      </c>
      <c r="AW101" s="72">
        <f>ACOS((b^2+AV101^2-AT101^2)/(2*b*AV101))*IF(AP101+AQ101+AU101&gt;PI(),-1,1)</f>
        <v>0.39555002883730705</v>
      </c>
    </row>
    <row r="102" spans="1:50">
      <c r="A102" s="55"/>
      <c r="B102" s="57">
        <f t="shared" si="118"/>
        <v>99</v>
      </c>
      <c r="C102" s="70">
        <f t="shared" si="119"/>
        <v>2.3977577609993403</v>
      </c>
      <c r="D102" s="71">
        <f>C102*180/PI()</f>
        <v>137.38140000000016</v>
      </c>
      <c r="E102" s="72">
        <f t="shared" si="82"/>
        <v>-3.5934918326864418</v>
      </c>
      <c r="F102" s="70">
        <f t="shared" si="83"/>
        <v>3.6436927748390495</v>
      </c>
      <c r="G102" s="73">
        <f t="shared" si="84"/>
        <v>-5.4665611948223614E-7</v>
      </c>
      <c r="H102" s="73">
        <f t="shared" si="85"/>
        <v>1.5071266692423535E-6</v>
      </c>
      <c r="I102" s="70">
        <f t="shared" si="86"/>
        <v>0.74383489259045277</v>
      </c>
      <c r="J102" s="70">
        <f>SQRT(a^2+b^2-2*a*b*COS(I102))</f>
        <v>4.39125234082245</v>
      </c>
      <c r="K102" s="70">
        <f>ACOS((a^2+J102^2-b^2)/(2*a*J102))</f>
        <v>0.32975606374536381</v>
      </c>
      <c r="L102" s="70">
        <f t="shared" si="89"/>
        <v>1.1949455144341115</v>
      </c>
      <c r="M102" s="70">
        <f>PI()-K102-L102</f>
        <v>1.6168910754103178</v>
      </c>
      <c r="N102" s="70">
        <f t="shared" si="125"/>
        <v>-0.87305618281986508</v>
      </c>
      <c r="O102" s="70">
        <f t="shared" si="92"/>
        <v>2.0680016972539761</v>
      </c>
      <c r="P102" s="70">
        <f t="shared" si="93"/>
        <v>0.80883803158825429</v>
      </c>
      <c r="Q102" s="73">
        <f t="shared" si="94"/>
        <v>-5.0366366685169393</v>
      </c>
      <c r="R102" s="73">
        <f t="shared" si="95"/>
        <v>-7.4304773435954798</v>
      </c>
      <c r="S102" s="70">
        <f t="shared" si="96"/>
        <v>8.0603970125546542</v>
      </c>
      <c r="T102" s="70">
        <f>ASIN(s/S102)</f>
        <v>-0.19982864507299022</v>
      </c>
      <c r="U102" s="70">
        <f>SQRT(S102^2+b^2-2*S102*b*COS(T102+P102+O102))</f>
        <v>9.9822586362818662</v>
      </c>
      <c r="V102" s="72">
        <f>ACOS((b^2+U102^2-S102^2)/(2*b*U102))*IF(O102+P102+T102&gt;PI(),-1,1)</f>
        <v>0.37018397232077183</v>
      </c>
      <c r="W102" s="74">
        <f t="shared" si="120"/>
        <v>164.83077479821998</v>
      </c>
      <c r="X102" s="78"/>
      <c r="Y102" s="44">
        <f t="shared" si="121"/>
        <v>1.5247017511433005</v>
      </c>
      <c r="Z102" s="45">
        <f t="shared" si="126"/>
        <v>87.358975356717067</v>
      </c>
      <c r="AA102" s="46">
        <f t="shared" si="122"/>
        <v>87.358975356717067</v>
      </c>
      <c r="AB102" s="47">
        <f t="shared" si="123"/>
        <v>1.729638252623289E-7</v>
      </c>
      <c r="AC102" s="48">
        <f>(Fx*G102+Fy*H102)/Data!AB102</f>
        <v>385.55072773640052</v>
      </c>
      <c r="AD102" s="118">
        <f t="shared" si="124"/>
        <v>137.38145729577965</v>
      </c>
      <c r="AE102" s="85">
        <f t="shared" si="101"/>
        <v>2.3977587609993405</v>
      </c>
      <c r="AF102" s="72">
        <f>AV102*COS(AE102+AW102)+a</f>
        <v>-3.5934923793425613</v>
      </c>
      <c r="AG102" s="75">
        <f t="shared" si="103"/>
        <v>3.6436942819657188</v>
      </c>
      <c r="AH102" s="87" t="s">
        <v>36</v>
      </c>
      <c r="AI102" s="87" t="s">
        <v>36</v>
      </c>
      <c r="AJ102" s="75">
        <f t="shared" si="104"/>
        <v>0.74383389259045263</v>
      </c>
      <c r="AK102" s="75">
        <f>SQRT(a^2+b^2-2*a*b*COS(AJ102))</f>
        <v>4.3912504950932698</v>
      </c>
      <c r="AL102" s="75">
        <f>ACOS((a^2+AK102^2-b^2)/(2*a*AK102))</f>
        <v>0.32975583564625111</v>
      </c>
      <c r="AM102" s="75">
        <f t="shared" si="107"/>
        <v>1.1949459154970494</v>
      </c>
      <c r="AN102" s="75">
        <f>PI()-AL102-AM102</f>
        <v>1.6168909024464924</v>
      </c>
      <c r="AO102" s="75">
        <f>IF(ABS(PI()-AN102-AE102)&lt;0.0000000001,0.0000000001,PI()-AN102-AE102)</f>
        <v>-0.87305700985603973</v>
      </c>
      <c r="AP102" s="75">
        <f t="shared" si="110"/>
        <v>2.0680029253530887</v>
      </c>
      <c r="AQ102" s="75">
        <f t="shared" si="111"/>
        <v>0.80883819745029517</v>
      </c>
      <c r="AR102" s="88">
        <f t="shared" si="112"/>
        <v>-5.0366277023137487</v>
      </c>
      <c r="AS102" s="88">
        <f t="shared" si="113"/>
        <v>-7.4304722504868757</v>
      </c>
      <c r="AT102" s="75">
        <f t="shared" si="114"/>
        <v>8.0603970125546542</v>
      </c>
      <c r="AU102" s="75">
        <f>ASIN(s/AT102)</f>
        <v>-0.19982864507299022</v>
      </c>
      <c r="AV102" s="75">
        <f>SQRT(AT102^2+b^2-2*AT102*b*COS(AU102+AQ102+AP102))</f>
        <v>9.9822596953459364</v>
      </c>
      <c r="AW102" s="72">
        <f>ACOS((b^2+AV102^2-AT102^2)/(2*b*AV102))*IF(AP102+AQ102+AU102&gt;PI(),-1,1)</f>
        <v>0.3701828517471113</v>
      </c>
    </row>
    <row r="103" spans="1:50">
      <c r="A103" s="55"/>
      <c r="B103" s="57">
        <f t="shared" si="118"/>
        <v>100</v>
      </c>
      <c r="C103" s="70">
        <f t="shared" si="119"/>
        <v>2.4204435506167625</v>
      </c>
      <c r="D103" s="71">
        <f>C103*180/PI()</f>
        <v>138.68120000000013</v>
      </c>
      <c r="E103" s="72">
        <f t="shared" si="82"/>
        <v>-3.6049606006729364</v>
      </c>
      <c r="F103" s="70">
        <f t="shared" si="83"/>
        <v>3.6781827754959799</v>
      </c>
      <c r="G103" s="73">
        <f t="shared" si="84"/>
        <v>-4.6398238140454851E-7</v>
      </c>
      <c r="H103" s="73">
        <f t="shared" si="85"/>
        <v>1.53370680777698E-6</v>
      </c>
      <c r="I103" s="70">
        <f t="shared" si="86"/>
        <v>0.72114910297303059</v>
      </c>
      <c r="J103" s="70">
        <f>SQRT(a^2+b^2-2*a*b*COS(I103))</f>
        <v>4.3497036775367253</v>
      </c>
      <c r="K103" s="70">
        <f>ACOS((a^2+J103^2-b^2)/(2*a*J103))</f>
        <v>0.32442327069446808</v>
      </c>
      <c r="L103" s="70">
        <f t="shared" si="89"/>
        <v>1.2039830179853881</v>
      </c>
      <c r="M103" s="70">
        <f>PI()-K103-L103</f>
        <v>1.6131863649099369</v>
      </c>
      <c r="N103" s="70">
        <f t="shared" si="125"/>
        <v>-0.89203726193690636</v>
      </c>
      <c r="O103" s="70">
        <f t="shared" si="92"/>
        <v>2.096020279922294</v>
      </c>
      <c r="P103" s="70">
        <f t="shared" si="93"/>
        <v>0.81253988793321674</v>
      </c>
      <c r="Q103" s="73">
        <f t="shared" si="94"/>
        <v>-4.8351034005285864</v>
      </c>
      <c r="R103" s="73">
        <f t="shared" si="95"/>
        <v>-7.3165824067547947</v>
      </c>
      <c r="S103" s="70">
        <f t="shared" si="96"/>
        <v>8.0603970125546542</v>
      </c>
      <c r="T103" s="70">
        <f>ASIN(s/S103)</f>
        <v>-0.19982864507299022</v>
      </c>
      <c r="U103" s="70">
        <f>SQRT(S103^2+b^2-2*S103*b*COS(T103+P103+O103))</f>
        <v>10.005564467336711</v>
      </c>
      <c r="V103" s="72">
        <f>ACOS((b^2+U103^2-S103^2)/(2*b*U103))*IF(O103+P103+T103&gt;PI(),-1,1)</f>
        <v>0.34470733922487673</v>
      </c>
      <c r="W103" s="74">
        <f t="shared" si="120"/>
        <v>166.64822207798306</v>
      </c>
      <c r="X103" s="78"/>
      <c r="Y103" s="44">
        <f t="shared" si="121"/>
        <v>1.5284064422401222</v>
      </c>
      <c r="Z103" s="45">
        <f>IF(ISNA(AA103),0,AA103)</f>
        <v>0</v>
      </c>
      <c r="AA103" s="46" t="e">
        <f t="shared" si="122"/>
        <v>#N/A</v>
      </c>
      <c r="AB103" s="47" t="e">
        <f t="shared" si="123"/>
        <v>#N/A</v>
      </c>
      <c r="AC103" s="48" t="e">
        <f>(Fx*G103+Fy*H103)/Data!AB103</f>
        <v>#N/A</v>
      </c>
      <c r="AD103" s="118">
        <f>IF(W103&lt;165,AE103*180/PI(),0)</f>
        <v>0</v>
      </c>
      <c r="AE103" s="85">
        <f t="shared" si="101"/>
        <v>2.4204445506167627</v>
      </c>
      <c r="AF103" s="72">
        <f>AV103*COS(AE103+AW103)+a</f>
        <v>-3.6049610646553178</v>
      </c>
      <c r="AG103" s="75">
        <f t="shared" si="103"/>
        <v>3.6781843092027877</v>
      </c>
      <c r="AH103" s="87" t="s">
        <v>36</v>
      </c>
      <c r="AI103" s="87" t="s">
        <v>36</v>
      </c>
      <c r="AJ103" s="75">
        <f t="shared" si="104"/>
        <v>0.72114810297303045</v>
      </c>
      <c r="AK103" s="75">
        <f>SQRT(a^2+b^2-2*a*b*COS(AJ103))</f>
        <v>4.3497018605928677</v>
      </c>
      <c r="AL103" s="75">
        <f>ACOS((a^2+AK103^2-b^2)/(2*a*AK103))</f>
        <v>0.32442302861922068</v>
      </c>
      <c r="AM103" s="75">
        <f t="shared" si="107"/>
        <v>1.2039834136209016</v>
      </c>
      <c r="AN103" s="75">
        <f>PI()-AL103-AM103</f>
        <v>1.6131862113496709</v>
      </c>
      <c r="AO103" s="75">
        <f>IF(ABS(PI()-AN103-AE103)&lt;0.0000000001,0.0000000001,PI()-AN103-AE103)</f>
        <v>-0.89203810837664044</v>
      </c>
      <c r="AP103" s="75">
        <f t="shared" si="110"/>
        <v>2.0960215219975424</v>
      </c>
      <c r="AQ103" s="75">
        <f t="shared" si="111"/>
        <v>0.81254004842057292</v>
      </c>
      <c r="AR103" s="88">
        <f t="shared" si="112"/>
        <v>-4.8350945993366583</v>
      </c>
      <c r="AS103" s="88">
        <f t="shared" si="113"/>
        <v>-7.3165774590368731</v>
      </c>
      <c r="AT103" s="75">
        <f t="shared" si="114"/>
        <v>8.0603970125546542</v>
      </c>
      <c r="AU103" s="75">
        <f>ASIN(s/AT103)</f>
        <v>-0.19982864507299022</v>
      </c>
      <c r="AV103" s="75">
        <f>SQRT(AT103^2+b^2-2*AT103*b*COS(AU103+AQ103+AP103))</f>
        <v>10.00556546264213</v>
      </c>
      <c r="AW103" s="72">
        <f>ACOS((b^2+AV103^2-AT103^2)/(2*b*AV103))*IF(AP103+AQ103+AU103&gt;PI(),-1,1)</f>
        <v>0.34470621371990751</v>
      </c>
    </row>
    <row r="104" spans="1:50">
      <c r="A104" s="55"/>
      <c r="B104" s="57">
        <f t="shared" si="118"/>
        <v>101</v>
      </c>
      <c r="C104" s="70">
        <f t="shared" si="119"/>
        <v>2.4431293402341847</v>
      </c>
      <c r="D104" s="71">
        <f>C104*180/PI()</f>
        <v>139.98100000000014</v>
      </c>
      <c r="E104" s="72">
        <f t="shared" si="82"/>
        <v>-3.6145228256674864</v>
      </c>
      <c r="F104" s="70">
        <f t="shared" si="83"/>
        <v>3.713286336475393</v>
      </c>
      <c r="G104" s="73">
        <f t="shared" si="84"/>
        <v>-3.7857092216597721E-7</v>
      </c>
      <c r="H104" s="73">
        <f t="shared" si="85"/>
        <v>1.561197415789195E-6</v>
      </c>
      <c r="I104" s="70">
        <f t="shared" si="86"/>
        <v>0.69846331335560841</v>
      </c>
      <c r="J104" s="70">
        <f>SQRT(a^2+b^2-2*a*b*COS(I104))</f>
        <v>4.3088281475641033</v>
      </c>
      <c r="K104" s="70">
        <f>ACOS((a^2+J104^2-b^2)/(2*a*J104))</f>
        <v>0.31877145558687836</v>
      </c>
      <c r="L104" s="70">
        <f t="shared" si="89"/>
        <v>1.2128935318285003</v>
      </c>
      <c r="M104" s="70">
        <f>PI()-K104-L104</f>
        <v>1.6099276661744144</v>
      </c>
      <c r="N104" s="70">
        <f t="shared" si="125"/>
        <v>-0.911464352818806</v>
      </c>
      <c r="O104" s="70">
        <f t="shared" si="92"/>
        <v>2.1243578846473059</v>
      </c>
      <c r="P104" s="70">
        <f t="shared" si="93"/>
        <v>0.81611919915289166</v>
      </c>
      <c r="Q104" s="73">
        <f t="shared" si="94"/>
        <v>-4.6373096796465774</v>
      </c>
      <c r="R104" s="73">
        <f t="shared" si="95"/>
        <v>-7.2060028998424244</v>
      </c>
      <c r="S104" s="70">
        <f t="shared" si="96"/>
        <v>8.0603970125546542</v>
      </c>
      <c r="T104" s="70">
        <f>ASIN(s/S104)</f>
        <v>-0.19982864507299022</v>
      </c>
      <c r="U104" s="70">
        <f>SQRT(S104^2+b^2-2*S104*b*COS(T104+P104+O104))</f>
        <v>10.027403995378638</v>
      </c>
      <c r="V104" s="72">
        <f>ACOS((b^2+U104^2-S104^2)/(2*b*U104))*IF(O104+P104+T104&gt;PI(),-1,1)</f>
        <v>0.3191164711289538</v>
      </c>
      <c r="W104" s="74">
        <f t="shared" si="120"/>
        <v>168.4769266566874</v>
      </c>
      <c r="X104" s="78"/>
      <c r="Y104" s="49">
        <f t="shared" si="121"/>
        <v>1.5316651210587688</v>
      </c>
      <c r="Z104" s="50">
        <f t="shared" si="126"/>
        <v>0</v>
      </c>
      <c r="AA104" s="51" t="e">
        <f>IF(W104&lt;165,Y104*180/PI(),NA())</f>
        <v>#N/A</v>
      </c>
      <c r="AB104" s="52" t="e">
        <f t="shared" si="123"/>
        <v>#N/A</v>
      </c>
      <c r="AC104" s="53" t="e">
        <f>(Fx*G104+Fy*H104)/Data!AB104</f>
        <v>#N/A</v>
      </c>
      <c r="AD104" s="119">
        <f>IF(W104&lt;165,AE104*180/PI(),0)</f>
        <v>0</v>
      </c>
      <c r="AE104" s="85">
        <f t="shared" si="101"/>
        <v>2.4431303402341848</v>
      </c>
      <c r="AF104" s="72">
        <f>AV104*COS(AE104+AW104)+a</f>
        <v>-3.6145232042384086</v>
      </c>
      <c r="AG104" s="75">
        <f t="shared" si="103"/>
        <v>3.7132878976728088</v>
      </c>
      <c r="AH104" s="87" t="s">
        <v>36</v>
      </c>
      <c r="AI104" s="87" t="s">
        <v>36</v>
      </c>
      <c r="AJ104" s="75">
        <f t="shared" si="104"/>
        <v>0.69846231335560827</v>
      </c>
      <c r="AK104" s="75">
        <f>SQRT(a^2+b^2-2*a*b*COS(AJ104))</f>
        <v>4.3088263611839661</v>
      </c>
      <c r="AL104" s="75">
        <f>ACOS((a^2+AK104^2-b^2)/(2*a*AK104))</f>
        <v>0.31877119936551557</v>
      </c>
      <c r="AM104" s="75">
        <f t="shared" si="107"/>
        <v>1.2128939216932533</v>
      </c>
      <c r="AN104" s="75">
        <f>PI()-AL104-AM104</f>
        <v>1.6099275325310243</v>
      </c>
      <c r="AO104" s="75">
        <f>IF(ABS(PI()-AN104-AE104)&lt;0.0000000001,0.0000000001,PI()-AN104-AE104)</f>
        <v>-0.91146521917541601</v>
      </c>
      <c r="AP104" s="75">
        <f t="shared" si="110"/>
        <v>2.1243591408686688</v>
      </c>
      <c r="AQ104" s="75">
        <f t="shared" si="111"/>
        <v>0.81611935421233517</v>
      </c>
      <c r="AR104" s="88">
        <f t="shared" si="112"/>
        <v>-4.6373010430888471</v>
      </c>
      <c r="AS104" s="88">
        <f t="shared" si="113"/>
        <v>-7.2059980990330814</v>
      </c>
      <c r="AT104" s="75">
        <f t="shared" si="114"/>
        <v>8.0603970125546542</v>
      </c>
      <c r="AU104" s="75">
        <f>ASIN(s/AT104)</f>
        <v>-0.19982864507299022</v>
      </c>
      <c r="AV104" s="75">
        <f>SQRT(AT104^2+b^2-2*AT104*b*COS(AU104+AQ104+AP104))</f>
        <v>10.02740492516878</v>
      </c>
      <c r="AW104" s="72">
        <f>ACOS((b^2+AV104^2-AT104^2)/(2*b*AV104))*IF(AP104+AQ104+AU104&gt;PI(),-1,1)</f>
        <v>0.31911534048531109</v>
      </c>
    </row>
    <row r="105" spans="1:50">
      <c r="A105" s="55"/>
      <c r="B105" s="79"/>
      <c r="C105" s="79"/>
      <c r="D105" s="79"/>
      <c r="E105" s="79"/>
      <c r="F105" s="79"/>
      <c r="G105" s="79"/>
      <c r="H105" s="79"/>
      <c r="I105" s="79"/>
      <c r="J105" s="79"/>
      <c r="K105" s="79"/>
      <c r="L105" s="79"/>
      <c r="M105" s="79"/>
      <c r="N105" s="80"/>
      <c r="O105" s="79"/>
      <c r="P105" s="79"/>
      <c r="Q105" s="80"/>
      <c r="R105" s="80"/>
      <c r="S105" s="55"/>
      <c r="T105" s="55"/>
      <c r="U105" s="55"/>
      <c r="V105" s="55"/>
      <c r="W105" s="55"/>
      <c r="X105" s="55"/>
      <c r="Y105" s="55"/>
      <c r="AA105" s="103"/>
      <c r="AB105" s="55"/>
      <c r="AC105" s="55"/>
      <c r="AD105" s="55"/>
      <c r="AE105" s="55"/>
      <c r="AF105" s="55"/>
      <c r="AG105" s="55"/>
      <c r="AH105" s="91"/>
      <c r="AI105" s="91"/>
      <c r="AJ105" s="55"/>
      <c r="AK105" s="55"/>
      <c r="AL105" s="55"/>
      <c r="AM105" s="55"/>
      <c r="AN105" s="55"/>
      <c r="AO105" s="55"/>
      <c r="AP105" s="55"/>
      <c r="AQ105" s="55"/>
      <c r="AR105" s="92"/>
      <c r="AS105" s="92"/>
      <c r="AT105" s="55"/>
      <c r="AU105" s="55"/>
      <c r="AV105" s="55"/>
      <c r="AW105" s="55"/>
    </row>
    <row r="106" spans="1:50">
      <c r="C106" s="116" t="s">
        <v>93</v>
      </c>
      <c r="D106" s="116" t="s">
        <v>94</v>
      </c>
      <c r="G106" s="75"/>
      <c r="H106" s="75"/>
      <c r="Y106" s="116" t="s">
        <v>95</v>
      </c>
      <c r="Z106" s="116"/>
      <c r="AA106" s="116" t="s">
        <v>95</v>
      </c>
      <c r="AD106" s="116" t="s">
        <v>93</v>
      </c>
    </row>
    <row r="107" spans="1:50">
      <c r="C107" s="116" t="s">
        <v>96</v>
      </c>
      <c r="D107" s="116" t="s">
        <v>53</v>
      </c>
      <c r="Y107" s="116" t="s">
        <v>96</v>
      </c>
      <c r="Z107" s="116"/>
      <c r="AA107" s="116" t="s">
        <v>53</v>
      </c>
      <c r="AD107" s="116" t="s">
        <v>99</v>
      </c>
    </row>
  </sheetData>
  <mergeCells count="3">
    <mergeCell ref="A4:A30"/>
    <mergeCell ref="Y1:AC2"/>
    <mergeCell ref="AD1:AD2"/>
  </mergeCells>
  <phoneticPr fontId="0" type="noConversion"/>
  <pageMargins left="0.75" right="0.75" top="1" bottom="1" header="0.5" footer="0.5"/>
  <pageSetup orientation="portrait" r:id="rId1"/>
  <headerFooter alignWithMargins="0"/>
  <ignoredErrors>
    <ignoredError sqref="AC82:AC101 AC102:AC104 AC73:AC81" evalError="1"/>
  </ignoredErrors>
</worksheet>
</file>

<file path=xl/worksheets/sheet4.xml><?xml version="1.0" encoding="utf-8"?>
<worksheet xmlns="http://schemas.openxmlformats.org/spreadsheetml/2006/main" xmlns:r="http://schemas.openxmlformats.org/officeDocument/2006/relationships">
  <sheetPr codeName="Sheet4"/>
  <dimension ref="A1:AF42"/>
  <sheetViews>
    <sheetView showGridLines="0" zoomScale="85" zoomScaleNormal="85" workbookViewId="0">
      <selection activeCell="K13" sqref="K13"/>
    </sheetView>
  </sheetViews>
  <sheetFormatPr defaultRowHeight="12.75"/>
  <cols>
    <col min="10" max="10" width="12.140625" customWidth="1"/>
    <col min="11" max="11" width="19.85546875" bestFit="1" customWidth="1"/>
    <col min="12" max="32" width="11.85546875" customWidth="1"/>
  </cols>
  <sheetData>
    <row r="1" spans="1:32">
      <c r="A1" s="14"/>
    </row>
    <row r="2" spans="1:32">
      <c r="K2" s="36" t="s">
        <v>10</v>
      </c>
      <c r="L2" s="36" t="s">
        <v>23</v>
      </c>
      <c r="M2" s="7"/>
      <c r="N2" s="7"/>
      <c r="O2" s="7"/>
      <c r="P2" s="4"/>
      <c r="Q2" s="7"/>
      <c r="R2" s="7"/>
      <c r="S2" s="7"/>
      <c r="T2" s="7"/>
      <c r="U2" s="1"/>
      <c r="V2" s="1"/>
      <c r="W2" s="2"/>
      <c r="X2" s="1"/>
      <c r="Y2" s="1"/>
      <c r="Z2" s="2"/>
      <c r="AA2" s="2"/>
      <c r="AB2" s="2"/>
      <c r="AC2" s="3"/>
      <c r="AD2" s="3"/>
      <c r="AE2" s="4"/>
      <c r="AF2" s="30" t="s">
        <v>22</v>
      </c>
    </row>
    <row r="3" spans="1:32">
      <c r="K3" s="9" t="s">
        <v>35</v>
      </c>
      <c r="L3" s="106">
        <f>Main!E12</f>
        <v>10</v>
      </c>
      <c r="M3" s="106">
        <f>Data!D9</f>
        <v>16.5</v>
      </c>
      <c r="N3" s="106">
        <f>Data!D14</f>
        <v>22.998999999999999</v>
      </c>
      <c r="O3" s="106">
        <f>Data!D19</f>
        <v>29.497999999999994</v>
      </c>
      <c r="P3" s="106">
        <f>Data!D24</f>
        <v>35.996999999999993</v>
      </c>
      <c r="Q3" s="106">
        <f>Data!D29</f>
        <v>42.495999999999995</v>
      </c>
      <c r="R3" s="106">
        <f>Data!D34</f>
        <v>48.99499999999999</v>
      </c>
      <c r="S3" s="106">
        <f>Data!D39</f>
        <v>55.493999999999993</v>
      </c>
      <c r="T3" s="106">
        <f>Data!D44</f>
        <v>61.993000000000016</v>
      </c>
      <c r="U3" s="106">
        <f>Data!D49</f>
        <v>68.492000000000047</v>
      </c>
      <c r="V3" s="106">
        <f>Data!D54</f>
        <v>74.991000000000085</v>
      </c>
      <c r="W3" s="106">
        <f>Data!D59</f>
        <v>81.490000000000109</v>
      </c>
      <c r="X3" s="106">
        <f>Data!D64</f>
        <v>87.989000000000132</v>
      </c>
      <c r="Y3" s="106">
        <f>Data!D69</f>
        <v>94.488000000000184</v>
      </c>
      <c r="Z3" s="106">
        <f>Data!D74</f>
        <v>100.98700000000021</v>
      </c>
      <c r="AA3" s="106">
        <f>Data!D79</f>
        <v>107.48600000000023</v>
      </c>
      <c r="AB3" s="106">
        <f>Data!D84</f>
        <v>113.98500000000026</v>
      </c>
      <c r="AC3" s="106">
        <f>Data!D89</f>
        <v>120.48400000000024</v>
      </c>
      <c r="AD3" s="106">
        <f>Data!D94</f>
        <v>126.9830000000002</v>
      </c>
      <c r="AE3" s="106">
        <f>Data!D99</f>
        <v>133.48200000000017</v>
      </c>
      <c r="AF3" s="106">
        <f>Main!E13</f>
        <v>140</v>
      </c>
    </row>
    <row r="4" spans="1:32">
      <c r="K4" s="9" t="s">
        <v>77</v>
      </c>
      <c r="L4" s="106">
        <f>Data!$AA4</f>
        <v>18.110858959693065</v>
      </c>
      <c r="M4" s="106">
        <f>Data!$AA9</f>
        <v>21.185894341115205</v>
      </c>
      <c r="N4" s="106">
        <f>Data!$AA14</f>
        <v>24.7199451475954</v>
      </c>
      <c r="O4" s="106">
        <f>Data!$AA19</f>
        <v>28.578734463367137</v>
      </c>
      <c r="P4" s="106">
        <f>Data!$AA24</f>
        <v>32.653918047450148</v>
      </c>
      <c r="Q4" s="106">
        <f>Data!$AA29</f>
        <v>36.863922545657424</v>
      </c>
      <c r="R4" s="106">
        <f>Data!$AA34</f>
        <v>41.147841938510645</v>
      </c>
      <c r="S4" s="106">
        <f>Data!$AA39</f>
        <v>45.458855872001273</v>
      </c>
      <c r="T4" s="106">
        <f>Data!$AA44</f>
        <v>49.759035732291963</v>
      </c>
      <c r="U4" s="106">
        <f>Data!$AA49</f>
        <v>54.015592431843181</v>
      </c>
      <c r="V4" s="106">
        <f>Data!$AA54</f>
        <v>58.198181934361422</v>
      </c>
      <c r="W4" s="106">
        <f>Data!$AA59</f>
        <v>62.276890895181168</v>
      </c>
      <c r="X4" s="106">
        <f>Data!$AA64</f>
        <v>66.220622636735442</v>
      </c>
      <c r="Y4" s="106">
        <f>Data!$AA69</f>
        <v>69.995695099476151</v>
      </c>
      <c r="Z4" s="106">
        <f>Data!$AA74</f>
        <v>73.564533413292139</v>
      </c>
      <c r="AA4" s="106">
        <f>Data!$AA79</f>
        <v>76.884399347813158</v>
      </c>
      <c r="AB4" s="106">
        <f>Data!$AA84</f>
        <v>79.906163158554207</v>
      </c>
      <c r="AC4" s="106">
        <f>Data!$AA89</f>
        <v>82.573208364341383</v>
      </c>
      <c r="AD4" s="106">
        <f>Data!$AA94</f>
        <v>84.820687885419545</v>
      </c>
      <c r="AE4" s="106">
        <f>Data!$AA99</f>
        <v>86.575541577209123</v>
      </c>
      <c r="AF4" s="109" t="e">
        <f>Data!$AA104</f>
        <v>#N/A</v>
      </c>
    </row>
    <row r="5" spans="1:32">
      <c r="K5" s="9" t="s">
        <v>15</v>
      </c>
      <c r="L5" s="107">
        <f>Data!$E4</f>
        <v>-0.28636654147306917</v>
      </c>
      <c r="M5" s="107">
        <f>Data!$E9</f>
        <v>-0.33650483718277791</v>
      </c>
      <c r="N5" s="107">
        <f>Data!$E14</f>
        <v>-0.41449782297042592</v>
      </c>
      <c r="O5" s="107">
        <f>Data!$E19</f>
        <v>-0.51949320808252164</v>
      </c>
      <c r="P5" s="107">
        <f>Data!$E24</f>
        <v>-0.64967720232080239</v>
      </c>
      <c r="Q5" s="107">
        <f>Data!$E29</f>
        <v>-0.80277240022002161</v>
      </c>
      <c r="R5" s="107">
        <f>Data!$E34</f>
        <v>-0.97623679108249117</v>
      </c>
      <c r="S5" s="107">
        <f>Data!$E39</f>
        <v>-1.1673246957049708</v>
      </c>
      <c r="T5" s="107">
        <f>Data!$E44</f>
        <v>-1.3730982948385959</v>
      </c>
      <c r="U5" s="107">
        <f>Data!$E49</f>
        <v>-1.5904256173531275</v>
      </c>
      <c r="V5" s="107">
        <f>Data!$E54</f>
        <v>-1.8159760798006035</v>
      </c>
      <c r="W5" s="107">
        <f>Data!$E59</f>
        <v>-2.0462148538349965</v>
      </c>
      <c r="X5" s="107">
        <f>Data!$E64</f>
        <v>-2.2773936990990675</v>
      </c>
      <c r="Y5" s="107">
        <f>Data!$E69</f>
        <v>-2.5055345149414086</v>
      </c>
      <c r="Z5" s="107">
        <f>Data!$E74</f>
        <v>-2.7264013132207046</v>
      </c>
      <c r="AA5" s="107">
        <f>Data!$E79</f>
        <v>-2.9354563363502697</v>
      </c>
      <c r="AB5" s="107">
        <f>Data!$E84</f>
        <v>-3.1277970929815728</v>
      </c>
      <c r="AC5" s="107">
        <f>Data!$E89</f>
        <v>-3.2980743768955945</v>
      </c>
      <c r="AD5" s="107">
        <f>Data!$E94</f>
        <v>-3.440399190232367</v>
      </c>
      <c r="AE5" s="107">
        <f>Data!$E99</f>
        <v>-3.5482626948058185</v>
      </c>
      <c r="AF5" s="107">
        <f>Data!$E104</f>
        <v>-3.6145228256674864</v>
      </c>
    </row>
    <row r="6" spans="1:32">
      <c r="K6" s="9" t="s">
        <v>16</v>
      </c>
      <c r="L6" s="107">
        <f>Data!$F4</f>
        <v>5.5292731873944269E-2</v>
      </c>
      <c r="M6" s="107">
        <f>Data!$F9</f>
        <v>0.18768182966069236</v>
      </c>
      <c r="N6" s="107">
        <f>Data!$F14</f>
        <v>0.36599145846996528</v>
      </c>
      <c r="O6" s="107">
        <f>Data!$F19</f>
        <v>0.57430324243672115</v>
      </c>
      <c r="P6" s="107">
        <f>Data!$F24</f>
        <v>0.79976012672433516</v>
      </c>
      <c r="Q6" s="107">
        <f>Data!$F29</f>
        <v>1.032727628065226</v>
      </c>
      <c r="R6" s="107">
        <f>Data!$F34</f>
        <v>1.2661974099886617</v>
      </c>
      <c r="S6" s="107">
        <f>Data!$F39</f>
        <v>1.4951443245367453</v>
      </c>
      <c r="T6" s="107">
        <f>Data!$F44</f>
        <v>1.7160406809760711</v>
      </c>
      <c r="U6" s="107">
        <f>Data!$F49</f>
        <v>1.9265337980857977</v>
      </c>
      <c r="V6" s="107">
        <f>Data!$F54</f>
        <v>2.1252457833262319</v>
      </c>
      <c r="W6" s="107">
        <f>Data!$F59</f>
        <v>2.3116554209164044</v>
      </c>
      <c r="X6" s="107">
        <f>Data!$F64</f>
        <v>2.4860323361126926</v>
      </c>
      <c r="Y6" s="107">
        <f>Data!$F69</f>
        <v>2.6494022731024884</v>
      </c>
      <c r="Z6" s="107">
        <f>Data!$F74</f>
        <v>2.803527260290017</v>
      </c>
      <c r="AA6" s="107">
        <f>Data!$F79</f>
        <v>2.9508855794613145</v>
      </c>
      <c r="AB6" s="107">
        <f>Data!$F84</f>
        <v>3.0946338009230923</v>
      </c>
      <c r="AC6" s="107">
        <f>Data!$F89</f>
        <v>3.2385263649420573</v>
      </c>
      <c r="AD6" s="107">
        <f>Data!$F94</f>
        <v>3.3867569643104898</v>
      </c>
      <c r="AE6" s="107">
        <f>Data!$F99</f>
        <v>3.5436711942489878</v>
      </c>
      <c r="AF6" s="107">
        <f>Data!$F104</f>
        <v>3.713286336475393</v>
      </c>
    </row>
    <row r="7" spans="1:32">
      <c r="K7" s="54" t="s">
        <v>65</v>
      </c>
      <c r="L7" s="34">
        <f>SQRT(L5^2+L6^2)</f>
        <v>0.29165575988368708</v>
      </c>
      <c r="M7" s="34">
        <f t="shared" ref="M7:AF7" si="0">SQRT(M5^2+M6^2)</f>
        <v>0.38530504101580737</v>
      </c>
      <c r="N7" s="34">
        <f t="shared" si="0"/>
        <v>0.55295406040664441</v>
      </c>
      <c r="O7" s="34">
        <f t="shared" si="0"/>
        <v>0.77440132200119693</v>
      </c>
      <c r="P7" s="34">
        <f t="shared" si="0"/>
        <v>1.0303866883425414</v>
      </c>
      <c r="Q7" s="34">
        <f t="shared" si="0"/>
        <v>1.3080404735038753</v>
      </c>
      <c r="R7" s="34">
        <f t="shared" si="0"/>
        <v>1.5988415035034069</v>
      </c>
      <c r="S7" s="34">
        <f t="shared" si="0"/>
        <v>1.8968667576815044</v>
      </c>
      <c r="T7" s="34">
        <f t="shared" si="0"/>
        <v>2.1977703578976304</v>
      </c>
      <c r="U7" s="34">
        <f t="shared" si="0"/>
        <v>2.4981965734305152</v>
      </c>
      <c r="V7" s="34">
        <f t="shared" si="0"/>
        <v>2.7954317666424799</v>
      </c>
      <c r="W7" s="34">
        <f t="shared" si="0"/>
        <v>3.0871906343967774</v>
      </c>
      <c r="X7" s="34">
        <f t="shared" si="0"/>
        <v>3.371480214519146</v>
      </c>
      <c r="Y7" s="34">
        <f t="shared" si="0"/>
        <v>3.6465100589856205</v>
      </c>
      <c r="Z7" s="34">
        <f t="shared" si="0"/>
        <v>3.910630284227957</v>
      </c>
      <c r="AA7" s="34">
        <f t="shared" si="0"/>
        <v>4.162286583801226</v>
      </c>
      <c r="AB7" s="34">
        <f t="shared" si="0"/>
        <v>4.399985570053575</v>
      </c>
      <c r="AC7" s="34">
        <f t="shared" si="0"/>
        <v>4.6222665016158553</v>
      </c>
      <c r="AD7" s="34">
        <f t="shared" si="0"/>
        <v>4.8276774253731087</v>
      </c>
      <c r="AE7" s="34">
        <f t="shared" si="0"/>
        <v>5.0147555956697127</v>
      </c>
      <c r="AF7" s="34">
        <f t="shared" si="0"/>
        <v>5.1820141522313614</v>
      </c>
    </row>
    <row r="8" spans="1:32">
      <c r="K8" s="54" t="s">
        <v>66</v>
      </c>
      <c r="L8" s="34">
        <f t="shared" ref="L8:AF8" si="1">ATAN2(L5,L6)+$Z$19</f>
        <v>3.12539609027806</v>
      </c>
      <c r="M8" s="34">
        <f t="shared" si="1"/>
        <v>2.8073673277620781</v>
      </c>
      <c r="N8" s="34">
        <f t="shared" si="1"/>
        <v>2.5928033400003652</v>
      </c>
      <c r="O8" s="34">
        <f t="shared" si="1"/>
        <v>2.4806664842932626</v>
      </c>
      <c r="P8" s="34">
        <f t="shared" si="1"/>
        <v>2.4275565620236059</v>
      </c>
      <c r="Q8" s="34">
        <f t="shared" si="1"/>
        <v>2.4061018014151041</v>
      </c>
      <c r="R8" s="34">
        <f t="shared" si="1"/>
        <v>2.4021418462113262</v>
      </c>
      <c r="S8" s="34">
        <f t="shared" si="1"/>
        <v>2.4082249336558998</v>
      </c>
      <c r="T8" s="34">
        <f t="shared" si="1"/>
        <v>2.4201717085733891</v>
      </c>
      <c r="U8" s="34">
        <f t="shared" si="1"/>
        <v>2.4354560412762014</v>
      </c>
      <c r="V8" s="34">
        <f t="shared" si="1"/>
        <v>2.4524244665523343</v>
      </c>
      <c r="W8" s="34">
        <f t="shared" si="1"/>
        <v>2.4698990526511606</v>
      </c>
      <c r="X8" s="34">
        <f t="shared" si="1"/>
        <v>2.4869623648277601</v>
      </c>
      <c r="Y8" s="34">
        <f t="shared" si="1"/>
        <v>2.5028330175396172</v>
      </c>
      <c r="Z8" s="34">
        <f t="shared" si="1"/>
        <v>2.5167884068305799</v>
      </c>
      <c r="AA8" s="34">
        <f t="shared" si="1"/>
        <v>2.5281133208036319</v>
      </c>
      <c r="AB8" s="34">
        <f t="shared" si="1"/>
        <v>2.5360640942262744</v>
      </c>
      <c r="AC8" s="34">
        <f t="shared" si="1"/>
        <v>2.5398441922524322</v>
      </c>
      <c r="AD8" s="34">
        <f t="shared" si="1"/>
        <v>2.5385915315072376</v>
      </c>
      <c r="AE8" s="34">
        <f t="shared" si="1"/>
        <v>2.5313819342816046</v>
      </c>
      <c r="AF8" s="34">
        <f t="shared" si="1"/>
        <v>2.5172574203200848</v>
      </c>
    </row>
    <row r="9" spans="1:32">
      <c r="K9" s="54" t="s">
        <v>63</v>
      </c>
      <c r="L9" s="107">
        <f>L7*COS(L8)</f>
        <v>-0.29161750588716862</v>
      </c>
      <c r="M9" s="107">
        <f t="shared" ref="M9:AF9" si="2">M7*COS(M8)</f>
        <v>-0.36398407684092099</v>
      </c>
      <c r="N9" s="107">
        <f t="shared" si="2"/>
        <v>-0.47175646553723966</v>
      </c>
      <c r="O9" s="107">
        <f t="shared" si="2"/>
        <v>-0.61133102232632353</v>
      </c>
      <c r="P9" s="107">
        <f t="shared" si="2"/>
        <v>-0.77868882083758439</v>
      </c>
      <c r="Q9" s="107">
        <f t="shared" si="2"/>
        <v>-0.96991397955370295</v>
      </c>
      <c r="R9" s="107">
        <f t="shared" si="2"/>
        <v>-1.1812860759493264</v>
      </c>
      <c r="S9" s="107">
        <f t="shared" si="2"/>
        <v>-1.409228504351389</v>
      </c>
      <c r="T9" s="107">
        <f t="shared" si="2"/>
        <v>-1.6502354794955152</v>
      </c>
      <c r="U9" s="107">
        <f t="shared" si="2"/>
        <v>-1.9008140605470294</v>
      </c>
      <c r="V9" s="107">
        <f t="shared" si="2"/>
        <v>-2.1574449890530105</v>
      </c>
      <c r="W9" s="107">
        <f t="shared" si="2"/>
        <v>-2.416556631195284</v>
      </c>
      <c r="X9" s="107">
        <f t="shared" si="2"/>
        <v>-2.6745045172446749</v>
      </c>
      <c r="Y9" s="107">
        <f t="shared" si="2"/>
        <v>-2.9275491135116503</v>
      </c>
      <c r="Z9" s="107">
        <f t="shared" si="2"/>
        <v>-3.1718247765806584</v>
      </c>
      <c r="AA9" s="107">
        <f t="shared" si="2"/>
        <v>-3.4032930596162934</v>
      </c>
      <c r="AB9" s="107">
        <f t="shared" si="2"/>
        <v>-3.6176741118996789</v>
      </c>
      <c r="AC9" s="107">
        <f t="shared" si="2"/>
        <v>-3.8103519781997712</v>
      </c>
      <c r="AD9" s="107">
        <f t="shared" si="2"/>
        <v>-3.9762553914263896</v>
      </c>
      <c r="AE9" s="107">
        <f t="shared" si="2"/>
        <v>-4.1097290403350408</v>
      </c>
      <c r="AF9" s="107">
        <f t="shared" si="2"/>
        <v>-4.2044369945013038</v>
      </c>
    </row>
    <row r="10" spans="1:32">
      <c r="K10" s="54" t="s">
        <v>64</v>
      </c>
      <c r="L10" s="107">
        <f t="shared" ref="L10:AF10" si="3">L7*SIN(L8)</f>
        <v>4.7236144506230095E-3</v>
      </c>
      <c r="M10" s="107">
        <f t="shared" si="3"/>
        <v>0.12639448737368073</v>
      </c>
      <c r="N10" s="107">
        <f t="shared" si="3"/>
        <v>0.28845108795774405</v>
      </c>
      <c r="O10" s="107">
        <f t="shared" si="3"/>
        <v>0.47536490053289965</v>
      </c>
      <c r="P10" s="107">
        <f t="shared" si="3"/>
        <v>0.67478918768462948</v>
      </c>
      <c r="Q10" s="107">
        <f t="shared" si="3"/>
        <v>0.87763133067965471</v>
      </c>
      <c r="R10" s="107">
        <f t="shared" si="3"/>
        <v>1.0774309073408266</v>
      </c>
      <c r="S10" s="107">
        <f t="shared" si="3"/>
        <v>1.2697159205588824</v>
      </c>
      <c r="T10" s="107">
        <f t="shared" si="3"/>
        <v>1.4515224449755111</v>
      </c>
      <c r="U10" s="107">
        <f t="shared" si="3"/>
        <v>1.6210774277395517</v>
      </c>
      <c r="V10" s="107">
        <f t="shared" si="3"/>
        <v>1.7776022843043242</v>
      </c>
      <c r="W10" s="107">
        <f t="shared" si="3"/>
        <v>1.9211975591628461</v>
      </c>
      <c r="X10" s="107">
        <f t="shared" si="3"/>
        <v>2.0527796823166136</v>
      </c>
      <c r="Y10" s="107">
        <f t="shared" si="3"/>
        <v>2.1740496310481192</v>
      </c>
      <c r="Z10" s="107">
        <f t="shared" si="3"/>
        <v>2.2874782636322228</v>
      </c>
      <c r="AA10" s="107">
        <f t="shared" si="3"/>
        <v>2.3962942131673328</v>
      </c>
      <c r="AB10" s="107">
        <f t="shared" si="3"/>
        <v>2.5044574336112313</v>
      </c>
      <c r="AC10" s="107">
        <f t="shared" si="3"/>
        <v>2.6165942395008761</v>
      </c>
      <c r="AD10" s="107">
        <f t="shared" si="3"/>
        <v>2.7378572617303658</v>
      </c>
      <c r="AE10" s="107">
        <f t="shared" si="3"/>
        <v>2.8736563641687431</v>
      </c>
      <c r="AF10" s="107">
        <f t="shared" si="3"/>
        <v>3.0291880485032547</v>
      </c>
    </row>
    <row r="11" spans="1:32">
      <c r="K11" s="9" t="s">
        <v>17</v>
      </c>
      <c r="L11" s="108">
        <f>Data!G4</f>
        <v>-3.2037763553205423E-7</v>
      </c>
      <c r="M11" s="108">
        <f>Data!G9</f>
        <v>-5.6500921541413618E-7</v>
      </c>
      <c r="N11" s="108">
        <f>Data!G14</f>
        <v>-8.0878742814149973E-7</v>
      </c>
      <c r="O11" s="108">
        <f>Data!G19</f>
        <v>-1.0397783585247566E-6</v>
      </c>
      <c r="P11" s="108">
        <f>Data!G24</f>
        <v>-1.2522795831415579E-6</v>
      </c>
      <c r="Q11" s="108">
        <f>Data!G29</f>
        <v>-1.4433823620763064E-6</v>
      </c>
      <c r="R11" s="108">
        <f>Data!G34</f>
        <v>-1.6111396412554768E-6</v>
      </c>
      <c r="S11" s="108">
        <f>Data!G39</f>
        <v>-1.7538423691121352E-6</v>
      </c>
      <c r="T11" s="108">
        <f>Data!G44</f>
        <v>-1.8697951693624759E-6</v>
      </c>
      <c r="U11" s="108">
        <f>Data!G49</f>
        <v>-1.9572677620871559E-6</v>
      </c>
      <c r="V11" s="108">
        <f>Data!G54</f>
        <v>-2.0144872001637282E-6</v>
      </c>
      <c r="W11" s="108">
        <f>Data!G59</f>
        <v>-2.0396201314554219E-6</v>
      </c>
      <c r="X11" s="108">
        <f>Data!G64</f>
        <v>-2.030726363955182E-6</v>
      </c>
      <c r="Y11" s="108">
        <f>Data!G69</f>
        <v>-1.9856761426240155E-6</v>
      </c>
      <c r="Z11" s="108">
        <f>Data!G74</f>
        <v>-1.9020286714521717E-6</v>
      </c>
      <c r="AA11" s="108">
        <f>Data!G79</f>
        <v>-1.7768754165814471E-6</v>
      </c>
      <c r="AB11" s="108">
        <f>Data!G84</f>
        <v>-1.6066648349521984E-6</v>
      </c>
      <c r="AC11" s="108">
        <f>Data!G89</f>
        <v>-1.3870533308590893E-6</v>
      </c>
      <c r="AD11" s="108">
        <f>Data!G94</f>
        <v>-1.1128816979066869E-6</v>
      </c>
      <c r="AE11" s="108">
        <f>Data!G99</f>
        <v>-7.7847107426975981E-7</v>
      </c>
      <c r="AF11" s="108">
        <f>Data!G104</f>
        <v>-3.7857092216597721E-7</v>
      </c>
    </row>
    <row r="12" spans="1:32">
      <c r="K12" s="9" t="s">
        <v>18</v>
      </c>
      <c r="L12" s="108">
        <f>Data!H4</f>
        <v>9.1433090022852159E-7</v>
      </c>
      <c r="M12" s="108">
        <f>Data!H9</f>
        <v>1.3946496817129894E-6</v>
      </c>
      <c r="N12" s="108">
        <f>Data!H14</f>
        <v>1.7256449695302045E-6</v>
      </c>
      <c r="O12" s="108">
        <f>Data!H19</f>
        <v>1.9284652200690644E-6</v>
      </c>
      <c r="P12" s="108">
        <f>Data!H24</f>
        <v>2.0327775481776555E-6</v>
      </c>
      <c r="Q12" s="108">
        <f>Data!H29</f>
        <v>2.0647483334190753E-6</v>
      </c>
      <c r="R12" s="108">
        <f>Data!H34</f>
        <v>2.0445208273045523E-6</v>
      </c>
      <c r="S12" s="108">
        <f>Data!H39</f>
        <v>1.9871756216094383E-6</v>
      </c>
      <c r="T12" s="108">
        <f>Data!H44</f>
        <v>1.9042803520719076E-6</v>
      </c>
      <c r="U12" s="108">
        <f>Data!H49</f>
        <v>1.8051641339500435E-6</v>
      </c>
      <c r="V12" s="108">
        <f>Data!H54</f>
        <v>1.6978044676818627E-6</v>
      </c>
      <c r="W12" s="108">
        <f>Data!H59</f>
        <v>1.5894044382847028E-6</v>
      </c>
      <c r="X12" s="108">
        <f>Data!H64</f>
        <v>1.4867501834103791E-6</v>
      </c>
      <c r="Y12" s="108">
        <f>Data!H69</f>
        <v>1.3964092953067109E-6</v>
      </c>
      <c r="Z12" s="108">
        <f>Data!H74</f>
        <v>1.324796623070057E-6</v>
      </c>
      <c r="AA12" s="108">
        <f>Data!H79</f>
        <v>1.2781010423346117E-6</v>
      </c>
      <c r="AB12" s="108">
        <f>Data!H84</f>
        <v>1.2620326406143079E-6</v>
      </c>
      <c r="AC12" s="108">
        <f>Data!H89</f>
        <v>1.2813104315334556E-6</v>
      </c>
      <c r="AD12" s="108">
        <f>Data!H94</f>
        <v>1.3387734623115932E-6</v>
      </c>
      <c r="AE12" s="108">
        <f>Data!H99</f>
        <v>1.4339780949335079E-6</v>
      </c>
      <c r="AF12" s="108">
        <f>Data!H104</f>
        <v>1.561197415789195E-6</v>
      </c>
    </row>
    <row r="13" spans="1:32">
      <c r="K13" s="35" t="s">
        <v>74</v>
      </c>
      <c r="L13" s="106">
        <f t="shared" ref="L13:AF13" si="4">(Fx*L11+Fy*L12)/domega</f>
        <v>40.550582523342136</v>
      </c>
      <c r="M13" s="106">
        <f t="shared" si="4"/>
        <v>61.216480029385067</v>
      </c>
      <c r="N13" s="106">
        <f t="shared" si="4"/>
        <v>74.830862716470378</v>
      </c>
      <c r="O13" s="106">
        <f t="shared" si="4"/>
        <v>82.492907724860089</v>
      </c>
      <c r="P13" s="106">
        <f t="shared" si="4"/>
        <v>85.652532979628347</v>
      </c>
      <c r="Q13" s="106">
        <f t="shared" si="4"/>
        <v>85.570887549706029</v>
      </c>
      <c r="R13" s="106">
        <f t="shared" si="4"/>
        <v>83.216386864232646</v>
      </c>
      <c r="S13" s="106">
        <f t="shared" si="4"/>
        <v>79.316146959375544</v>
      </c>
      <c r="T13" s="106">
        <f t="shared" si="4"/>
        <v>74.431109945006185</v>
      </c>
      <c r="U13" s="106">
        <f t="shared" si="4"/>
        <v>69.016692409224248</v>
      </c>
      <c r="V13" s="106">
        <f t="shared" si="4"/>
        <v>63.464774794101494</v>
      </c>
      <c r="W13" s="106">
        <f t="shared" si="4"/>
        <v>58.131133875445741</v>
      </c>
      <c r="X13" s="106">
        <f t="shared" si="4"/>
        <v>53.352727587969518</v>
      </c>
      <c r="Y13" s="106">
        <f t="shared" si="4"/>
        <v>49.457763162074514</v>
      </c>
      <c r="Z13" s="106">
        <f t="shared" si="4"/>
        <v>46.769820216268833</v>
      </c>
      <c r="AA13" s="106">
        <f t="shared" si="4"/>
        <v>45.605695246814541</v>
      </c>
      <c r="AB13" s="106">
        <f t="shared" si="4"/>
        <v>46.264911863796506</v>
      </c>
      <c r="AC13" s="106">
        <f t="shared" si="4"/>
        <v>49.00674702138847</v>
      </c>
      <c r="AD13" s="106">
        <f t="shared" si="4"/>
        <v>54.008408801713585</v>
      </c>
      <c r="AE13" s="106">
        <f t="shared" si="4"/>
        <v>61.296261975951616</v>
      </c>
      <c r="AF13" s="106">
        <f t="shared" si="4"/>
        <v>70.643356838118663</v>
      </c>
    </row>
    <row r="14" spans="1:32">
      <c r="K14" s="94"/>
      <c r="L14" s="179" t="s">
        <v>62</v>
      </c>
      <c r="M14" s="179"/>
      <c r="N14" s="179"/>
      <c r="O14" s="179"/>
      <c r="P14" s="179" t="s">
        <v>59</v>
      </c>
      <c r="Q14" s="179"/>
      <c r="R14" s="179"/>
      <c r="S14" s="179"/>
      <c r="T14" s="178" t="s">
        <v>61</v>
      </c>
      <c r="U14" s="178"/>
      <c r="V14" s="178"/>
      <c r="W14" s="178"/>
      <c r="X14" s="16"/>
      <c r="Y14" s="16"/>
      <c r="Z14" s="16"/>
      <c r="AA14" s="16"/>
      <c r="AB14" s="16"/>
      <c r="AC14" s="16"/>
      <c r="AD14" s="16"/>
      <c r="AE14" s="16"/>
      <c r="AF14" s="95"/>
    </row>
    <row r="15" spans="1:32">
      <c r="K15" s="96"/>
      <c r="L15" s="32" t="s">
        <v>28</v>
      </c>
      <c r="M15" s="32" t="s">
        <v>29</v>
      </c>
      <c r="N15" s="32" t="s">
        <v>30</v>
      </c>
      <c r="O15" s="32" t="s">
        <v>31</v>
      </c>
      <c r="P15" s="29" t="s">
        <v>55</v>
      </c>
      <c r="Q15" s="29" t="s">
        <v>56</v>
      </c>
      <c r="R15" s="29" t="s">
        <v>57</v>
      </c>
      <c r="S15" s="29" t="s">
        <v>58</v>
      </c>
      <c r="T15" s="32" t="s">
        <v>28</v>
      </c>
      <c r="U15" s="32" t="s">
        <v>29</v>
      </c>
      <c r="V15" s="32" t="s">
        <v>30</v>
      </c>
      <c r="W15" s="32" t="s">
        <v>31</v>
      </c>
      <c r="X15" s="15"/>
      <c r="Y15" s="182" t="s">
        <v>60</v>
      </c>
      <c r="Z15" s="182"/>
      <c r="AA15" s="15"/>
      <c r="AB15" s="15"/>
      <c r="AC15" s="15"/>
      <c r="AD15" s="16"/>
      <c r="AE15" s="175" t="s">
        <v>85</v>
      </c>
      <c r="AF15" s="95"/>
    </row>
    <row r="16" spans="1:32">
      <c r="K16" s="54" t="s">
        <v>38</v>
      </c>
      <c r="L16" s="110">
        <f>Data!E4</f>
        <v>-0.28636654147306917</v>
      </c>
      <c r="M16" s="110">
        <f>Data!F4</f>
        <v>5.5292731873944269E-2</v>
      </c>
      <c r="N16" s="110">
        <f>Data!E104</f>
        <v>-3.6145228256674864</v>
      </c>
      <c r="O16" s="110">
        <f>Data!F104</f>
        <v>3.713286336475393</v>
      </c>
      <c r="P16" s="28">
        <f>SQRT(L16^2+M16^2)</f>
        <v>0.29165575988368708</v>
      </c>
      <c r="Q16" s="28">
        <f>ATAN2(L16,M16)+$Z$19</f>
        <v>3.12539609027806</v>
      </c>
      <c r="R16" s="28">
        <f>SQRT(N16^2+O16^2)</f>
        <v>5.1820141522313614</v>
      </c>
      <c r="S16" s="28">
        <f>ATAN2(N16,O16)+$Z$19</f>
        <v>2.5172574203200848</v>
      </c>
      <c r="T16" s="110">
        <f>P16*COS(Q16)</f>
        <v>-0.29161750588716862</v>
      </c>
      <c r="U16" s="110">
        <f>P16*SIN(Q16)</f>
        <v>4.7236144506230095E-3</v>
      </c>
      <c r="V16" s="110">
        <f>R16*COS(S16)</f>
        <v>-4.2044369945013038</v>
      </c>
      <c r="W16" s="110">
        <f>R16*SIN(S16)</f>
        <v>3.0291880485032547</v>
      </c>
      <c r="X16" s="15"/>
      <c r="Y16" s="31" t="s">
        <v>42</v>
      </c>
      <c r="Z16" s="111">
        <f>rise</f>
        <v>1</v>
      </c>
      <c r="AA16" s="15"/>
      <c r="AB16" s="15"/>
      <c r="AC16" s="15"/>
      <c r="AD16" s="16"/>
      <c r="AE16" s="176"/>
      <c r="AF16" s="95"/>
    </row>
    <row r="17" spans="11:32">
      <c r="K17" s="54" t="s">
        <v>39</v>
      </c>
      <c r="L17" s="110">
        <f>-(rr*COS(Data!$O$4+Data!$P$4-Data!$C$4)-L19)</f>
        <v>-2.919345860391509E-2</v>
      </c>
      <c r="M17" s="110">
        <f>rr*SIN(Data!$O$4+Data!$P$4-Data!$C$4)+M19</f>
        <v>1.6344893648008205</v>
      </c>
      <c r="N17" s="110">
        <f>-(rr*COS(Data!$O$104+Data!$P$104-Data!$C$104)-N19)</f>
        <v>-2.8511687759282163</v>
      </c>
      <c r="O17" s="110">
        <f>rr*SIN(Data!$O$104+Data!$P$104-Data!$C$104)+O19</f>
        <v>5.1194479896101539</v>
      </c>
      <c r="P17" s="28">
        <f t="shared" ref="P17:R20" si="5">SQRT(L17^2+M17^2)</f>
        <v>1.6347500548011149</v>
      </c>
      <c r="Q17" s="28">
        <f>ATAN2(L17,M17)+$Z$19</f>
        <v>1.7631953509096867</v>
      </c>
      <c r="R17" s="28">
        <f t="shared" si="5"/>
        <v>5.8598558947427577</v>
      </c>
      <c r="S17" s="28">
        <f>ATAN2(N17,O17)+$Z$19</f>
        <v>2.2534837157536725</v>
      </c>
      <c r="T17" s="110">
        <f>P17*COS(Q17)</f>
        <v>-0.31258742570487275</v>
      </c>
      <c r="U17" s="110">
        <f>P17*SIN(Q17)</f>
        <v>1.6045861905685992</v>
      </c>
      <c r="V17" s="110">
        <f>R17*COS(S17)</f>
        <v>-3.6968681795633347</v>
      </c>
      <c r="W17" s="110">
        <f>R17*SIN(S17)</f>
        <v>4.5465455864956992</v>
      </c>
      <c r="X17" s="15"/>
      <c r="Y17" s="31" t="s">
        <v>43</v>
      </c>
      <c r="Z17" s="111">
        <f>a</f>
        <v>5.7</v>
      </c>
      <c r="AA17" s="15"/>
      <c r="AB17" s="15"/>
      <c r="AC17" s="15"/>
      <c r="AD17" s="16"/>
      <c r="AE17" s="106">
        <f>MAX(Data!Z4:Z104)</f>
        <v>87.358975356717067</v>
      </c>
      <c r="AF17" s="95"/>
    </row>
    <row r="18" spans="11:32">
      <c r="K18" s="54" t="s">
        <v>26</v>
      </c>
      <c r="L18" s="110">
        <f>d*COS(Data!$K$4+Data!$L$4)</f>
        <v>3.3265993863656891</v>
      </c>
      <c r="M18" s="110">
        <f>d*SIN(Data!$K$4+Data!$L$4)</f>
        <v>1.0879965637038667</v>
      </c>
      <c r="N18" s="110">
        <f>d*COS(Data!$K$104+Data!$L$104)</f>
        <v>0.13692473698313481</v>
      </c>
      <c r="O18" s="110">
        <f>d*SIN(Data!$K$104+Data!$L$104)</f>
        <v>3.4973206339142111</v>
      </c>
      <c r="P18" s="28">
        <f>SQRT(L18^2+M18^2)</f>
        <v>3.5000000000000004</v>
      </c>
      <c r="Q18" s="28">
        <f>ATAN2(L18,M18)+$Z$19</f>
        <v>0.49063370721877553</v>
      </c>
      <c r="R18" s="28">
        <f>SQRT(N18^2+O18^2)</f>
        <v>3.5</v>
      </c>
      <c r="S18" s="28">
        <f>ATAN2(N18,O18)+$Z$19</f>
        <v>1.7062050058535909</v>
      </c>
      <c r="T18" s="110">
        <f>P18*COS(Q18)</f>
        <v>3.0871205485458191</v>
      </c>
      <c r="U18" s="110">
        <f>P18*SIN(Q18)</f>
        <v>1.6491472701812178</v>
      </c>
      <c r="V18" s="110">
        <f>R18*COS(S18)</f>
        <v>-0.47248341132940697</v>
      </c>
      <c r="W18" s="110">
        <f>R18*SIN(S18)</f>
        <v>3.4679618547525184</v>
      </c>
      <c r="X18" s="15"/>
      <c r="Y18" s="31" t="s">
        <v>53</v>
      </c>
      <c r="Z18" s="112">
        <f>DEGREES(SIN($Z16/$Z17))</f>
        <v>10.000406412645127</v>
      </c>
      <c r="AA18" s="15"/>
      <c r="AB18" s="15"/>
      <c r="AC18" s="15"/>
      <c r="AD18" s="16"/>
      <c r="AE18" s="16"/>
      <c r="AF18" s="95"/>
    </row>
    <row r="19" spans="11:32">
      <c r="K19" s="54" t="s">
        <v>25</v>
      </c>
      <c r="L19" s="110">
        <f>b*COS(Data!$C$4)+a</f>
        <v>7.7680899164725234</v>
      </c>
      <c r="M19" s="110">
        <f>b*SIN(Data!$C$4)</f>
        <v>0.36469726813436815</v>
      </c>
      <c r="N19" s="110">
        <f>b*COS(Data!$C$104)+a</f>
        <v>4.0917543864246229</v>
      </c>
      <c r="O19" s="110">
        <f>b*SIN(Data!$C$104)</f>
        <v>1.3503873690225179</v>
      </c>
      <c r="P19" s="28">
        <f t="shared" si="5"/>
        <v>7.7766461310636199</v>
      </c>
      <c r="Q19" s="28">
        <f>ATAN2(L19,M19)+$Z$19</f>
        <v>0.22145369728772701</v>
      </c>
      <c r="R19" s="28">
        <f t="shared" si="5"/>
        <v>4.3088281475641033</v>
      </c>
      <c r="S19" s="28">
        <f>ATAN2(N19,O19)+$Z$19</f>
        <v>0.49331147402509073</v>
      </c>
      <c r="T19" s="110">
        <f>P19*COS(Q19)</f>
        <v>7.5867340438776223</v>
      </c>
      <c r="U19" s="110">
        <f>P19*SIN(Q19)</f>
        <v>1.7081251696685071</v>
      </c>
      <c r="V19" s="110">
        <f>R19*COS(S19)</f>
        <v>3.795084664274317</v>
      </c>
      <c r="W19" s="110">
        <f>R19*SIN(S19)</f>
        <v>2.0404245627394797</v>
      </c>
      <c r="X19" s="15"/>
      <c r="Y19" s="30" t="s">
        <v>54</v>
      </c>
      <c r="Z19" s="113">
        <f>SIN($Z16/$Z17)</f>
        <v>0.17454001843821215</v>
      </c>
      <c r="AA19" s="15"/>
      <c r="AB19" s="15"/>
      <c r="AC19" s="15"/>
      <c r="AD19" s="16"/>
      <c r="AE19" s="16"/>
      <c r="AF19" s="95"/>
    </row>
    <row r="20" spans="11:32">
      <c r="K20" s="54" t="s">
        <v>24</v>
      </c>
      <c r="L20" s="110">
        <f>a</f>
        <v>5.7</v>
      </c>
      <c r="M20" s="110">
        <v>0</v>
      </c>
      <c r="N20" s="110">
        <f>a</f>
        <v>5.7</v>
      </c>
      <c r="O20" s="110">
        <v>0</v>
      </c>
      <c r="P20" s="28">
        <f t="shared" si="5"/>
        <v>5.7</v>
      </c>
      <c r="Q20" s="28">
        <f>ATAN2(L20,M20)+$Z$19</f>
        <v>0.17454001843821215</v>
      </c>
      <c r="R20" s="28">
        <f t="shared" si="5"/>
        <v>5.7</v>
      </c>
      <c r="S20" s="28">
        <f>ATAN2(N20,O20)+$Z$19</f>
        <v>0.17454001843821215</v>
      </c>
      <c r="T20" s="110">
        <f>P20*COS(Q20)</f>
        <v>5.6133971711788391</v>
      </c>
      <c r="U20" s="110">
        <f>P20*SIN(Q20)</f>
        <v>0.9898344298929016</v>
      </c>
      <c r="V20" s="110">
        <f>R20*COS(S20)</f>
        <v>5.6133971711788391</v>
      </c>
      <c r="W20" s="110">
        <f>R20*SIN(S20)</f>
        <v>0.9898344298929016</v>
      </c>
      <c r="X20" s="15"/>
      <c r="Y20" s="37" t="s">
        <v>41</v>
      </c>
      <c r="Z20" s="110">
        <f>weight*COS($Z$19)</f>
        <v>47.270713020453385</v>
      </c>
      <c r="AA20" s="15"/>
      <c r="AB20" s="15"/>
      <c r="AC20" s="15"/>
      <c r="AD20" s="16"/>
      <c r="AE20" s="16"/>
      <c r="AF20" s="95"/>
    </row>
    <row r="21" spans="11:32">
      <c r="K21" s="54" t="s">
        <v>27</v>
      </c>
      <c r="L21" s="111">
        <v>0</v>
      </c>
      <c r="M21" s="111">
        <v>0</v>
      </c>
      <c r="N21" s="111">
        <v>0</v>
      </c>
      <c r="O21" s="111">
        <v>0</v>
      </c>
      <c r="P21" s="33">
        <v>0</v>
      </c>
      <c r="Q21" s="33">
        <v>0</v>
      </c>
      <c r="R21" s="33">
        <v>0</v>
      </c>
      <c r="S21" s="33">
        <v>0</v>
      </c>
      <c r="T21" s="111">
        <v>0</v>
      </c>
      <c r="U21" s="111">
        <v>0</v>
      </c>
      <c r="V21" s="111">
        <v>0</v>
      </c>
      <c r="W21" s="111">
        <v>0</v>
      </c>
      <c r="X21" s="16"/>
      <c r="Y21" s="37" t="s">
        <v>40</v>
      </c>
      <c r="Z21" s="110">
        <f>weight*SIN($Z$19)</f>
        <v>8.3354478306770652</v>
      </c>
      <c r="AA21" s="15"/>
      <c r="AB21" s="15"/>
      <c r="AC21" s="15"/>
      <c r="AD21" s="122"/>
      <c r="AE21" s="15"/>
      <c r="AF21" s="95"/>
    </row>
    <row r="22" spans="11:32">
      <c r="K22" s="100" t="s">
        <v>70</v>
      </c>
      <c r="L22" s="110">
        <f t="shared" ref="L22:W22" si="6">L18</f>
        <v>3.3265993863656891</v>
      </c>
      <c r="M22" s="110">
        <f t="shared" si="6"/>
        <v>1.0879965637038667</v>
      </c>
      <c r="N22" s="110">
        <f t="shared" si="6"/>
        <v>0.13692473698313481</v>
      </c>
      <c r="O22" s="110">
        <f t="shared" si="6"/>
        <v>3.4973206339142111</v>
      </c>
      <c r="P22" s="28">
        <f t="shared" si="6"/>
        <v>3.5000000000000004</v>
      </c>
      <c r="Q22" s="28">
        <f t="shared" si="6"/>
        <v>0.49063370721877553</v>
      </c>
      <c r="R22" s="28">
        <f t="shared" si="6"/>
        <v>3.5</v>
      </c>
      <c r="S22" s="28">
        <f t="shared" si="6"/>
        <v>1.7062050058535909</v>
      </c>
      <c r="T22" s="110">
        <f t="shared" si="6"/>
        <v>3.0871205485458191</v>
      </c>
      <c r="U22" s="110">
        <f t="shared" si="6"/>
        <v>1.6491472701812178</v>
      </c>
      <c r="V22" s="110">
        <f t="shared" si="6"/>
        <v>-0.47248341132940697</v>
      </c>
      <c r="W22" s="110">
        <f t="shared" si="6"/>
        <v>3.4679618547525184</v>
      </c>
      <c r="X22" s="16"/>
      <c r="Y22" s="16"/>
      <c r="Z22" s="16"/>
      <c r="AA22" s="16"/>
      <c r="AB22" s="15"/>
      <c r="AC22" s="15"/>
      <c r="AD22" s="16"/>
      <c r="AE22" s="16"/>
      <c r="AF22" s="95"/>
    </row>
    <row r="23" spans="11:32">
      <c r="K23" s="97"/>
      <c r="L23" s="98"/>
      <c r="M23" s="98"/>
      <c r="N23" s="98"/>
      <c r="O23" s="98"/>
      <c r="P23" s="98"/>
      <c r="Q23" s="98"/>
      <c r="R23" s="98"/>
      <c r="S23" s="98"/>
      <c r="T23" s="98"/>
      <c r="U23" s="98"/>
      <c r="V23" s="98"/>
      <c r="W23" s="98"/>
      <c r="X23" s="98"/>
      <c r="Y23" s="98"/>
      <c r="Z23" s="98"/>
      <c r="AA23" s="98"/>
      <c r="AB23" s="123"/>
      <c r="AC23" s="123"/>
      <c r="AD23" s="98"/>
      <c r="AE23" s="98"/>
      <c r="AF23" s="99"/>
    </row>
    <row r="25" spans="11:32" ht="15.6" customHeight="1" thickBot="1">
      <c r="P25" s="166" t="s">
        <v>91</v>
      </c>
      <c r="Q25" s="167"/>
      <c r="R25" s="167"/>
      <c r="S25" s="167"/>
      <c r="T25" s="167"/>
      <c r="U25" s="167"/>
      <c r="V25" s="167"/>
      <c r="W25" s="168"/>
      <c r="Y25" s="180" t="s">
        <v>108</v>
      </c>
      <c r="Z25" s="181"/>
      <c r="AA25" s="126" t="s">
        <v>107</v>
      </c>
      <c r="AB25" s="127" t="b">
        <v>1</v>
      </c>
    </row>
    <row r="26" spans="11:32" ht="12.75" customHeight="1" thickTop="1">
      <c r="P26" s="169"/>
      <c r="Q26" s="170"/>
      <c r="R26" s="170"/>
      <c r="S26" s="170"/>
      <c r="T26" s="170"/>
      <c r="U26" s="170"/>
      <c r="V26" s="170"/>
      <c r="W26" s="171"/>
      <c r="Y26" s="124" t="s">
        <v>32</v>
      </c>
      <c r="Z26" s="125">
        <f>MAX(L16:L21, N16:N21)</f>
        <v>7.7680899164725234</v>
      </c>
      <c r="AA26" s="124" t="s">
        <v>33</v>
      </c>
      <c r="AB26" s="125">
        <f>MIN(L16:L21,N16:N21)</f>
        <v>-3.6145228256674864</v>
      </c>
    </row>
    <row r="27" spans="11:32" ht="12.75" customHeight="1">
      <c r="P27" s="169"/>
      <c r="Q27" s="170"/>
      <c r="R27" s="170"/>
      <c r="S27" s="170"/>
      <c r="T27" s="170"/>
      <c r="U27" s="170"/>
      <c r="V27" s="170"/>
      <c r="W27" s="171"/>
      <c r="Y27" s="30" t="s">
        <v>34</v>
      </c>
      <c r="Z27" s="110">
        <f>MAX(M16:M21, O16:O21)</f>
        <v>5.1194479896101539</v>
      </c>
      <c r="AA27" s="30" t="s">
        <v>106</v>
      </c>
      <c r="AB27" s="110">
        <f>MIN(M16:M21,O16:O21)</f>
        <v>0</v>
      </c>
    </row>
    <row r="28" spans="11:32" ht="12.75" customHeight="1">
      <c r="P28" s="169"/>
      <c r="Q28" s="170"/>
      <c r="R28" s="170"/>
      <c r="S28" s="170"/>
      <c r="T28" s="170"/>
      <c r="U28" s="170"/>
      <c r="V28" s="170"/>
      <c r="W28" s="171"/>
      <c r="Y28" s="30" t="s">
        <v>102</v>
      </c>
      <c r="Z28" s="110">
        <f>ABS(Z26)+ABS(AB26)</f>
        <v>11.38261274214001</v>
      </c>
      <c r="AA28" s="30" t="s">
        <v>103</v>
      </c>
      <c r="AB28" s="110">
        <f>ABS(Z27)+ABS(AB27)</f>
        <v>5.1194479896101539</v>
      </c>
    </row>
    <row r="29" spans="11:32" ht="12.75" customHeight="1">
      <c r="P29" s="169"/>
      <c r="Q29" s="170"/>
      <c r="R29" s="170"/>
      <c r="S29" s="170"/>
      <c r="T29" s="170"/>
      <c r="U29" s="170"/>
      <c r="V29" s="170"/>
      <c r="W29" s="171"/>
      <c r="Y29" s="37" t="s">
        <v>105</v>
      </c>
      <c r="Z29" s="112">
        <f>(AB28*2-ABS(AB26))*AB25</f>
        <v>6.6243731535528214</v>
      </c>
      <c r="AA29" s="37" t="s">
        <v>104</v>
      </c>
      <c r="AB29" s="112">
        <f>(ROUND(Z28/2.2,1))*AB25</f>
        <v>5.2</v>
      </c>
    </row>
    <row r="30" spans="11:32" ht="12.75" customHeight="1">
      <c r="P30" s="169"/>
      <c r="Q30" s="170"/>
      <c r="R30" s="170"/>
      <c r="S30" s="170"/>
      <c r="T30" s="170"/>
      <c r="U30" s="170"/>
      <c r="V30" s="170"/>
      <c r="W30" s="171"/>
    </row>
    <row r="31" spans="11:32">
      <c r="P31" s="169"/>
      <c r="Q31" s="170"/>
      <c r="R31" s="170"/>
      <c r="S31" s="170"/>
      <c r="T31" s="170"/>
      <c r="U31" s="170"/>
      <c r="V31" s="170"/>
      <c r="W31" s="171"/>
    </row>
    <row r="32" spans="11:32">
      <c r="P32" s="169"/>
      <c r="Q32" s="170"/>
      <c r="R32" s="170"/>
      <c r="S32" s="170"/>
      <c r="T32" s="170"/>
      <c r="U32" s="170"/>
      <c r="V32" s="170"/>
      <c r="W32" s="171"/>
    </row>
    <row r="33" spans="11:23">
      <c r="P33" s="169"/>
      <c r="Q33" s="170"/>
      <c r="R33" s="170"/>
      <c r="S33" s="170"/>
      <c r="T33" s="170"/>
      <c r="U33" s="170"/>
      <c r="V33" s="170"/>
      <c r="W33" s="171"/>
    </row>
    <row r="34" spans="11:23">
      <c r="P34" s="169"/>
      <c r="Q34" s="170"/>
      <c r="R34" s="170"/>
      <c r="S34" s="170"/>
      <c r="T34" s="170"/>
      <c r="U34" s="170"/>
      <c r="V34" s="170"/>
      <c r="W34" s="171"/>
    </row>
    <row r="35" spans="11:23">
      <c r="K35" s="177" t="s">
        <v>72</v>
      </c>
      <c r="L35" s="177"/>
      <c r="M35" s="177"/>
      <c r="N35" s="177"/>
      <c r="O35" s="177"/>
      <c r="P35" s="169"/>
      <c r="Q35" s="170"/>
      <c r="R35" s="170"/>
      <c r="S35" s="170"/>
      <c r="T35" s="170"/>
      <c r="U35" s="170"/>
      <c r="V35" s="170"/>
      <c r="W35" s="171"/>
    </row>
    <row r="36" spans="11:23">
      <c r="K36" s="177" t="s">
        <v>71</v>
      </c>
      <c r="L36" s="177"/>
      <c r="M36" s="177"/>
      <c r="N36" s="177"/>
      <c r="O36" s="177"/>
      <c r="P36" s="169"/>
      <c r="Q36" s="170"/>
      <c r="R36" s="170"/>
      <c r="S36" s="170"/>
      <c r="T36" s="170"/>
      <c r="U36" s="170"/>
      <c r="V36" s="170"/>
      <c r="W36" s="171"/>
    </row>
    <row r="37" spans="11:23">
      <c r="K37" s="177" t="s">
        <v>73</v>
      </c>
      <c r="L37" s="177"/>
      <c r="M37" s="177"/>
      <c r="N37" s="177"/>
      <c r="O37" s="177"/>
      <c r="P37" s="172"/>
      <c r="Q37" s="173"/>
      <c r="R37" s="173"/>
      <c r="S37" s="173"/>
      <c r="T37" s="173"/>
      <c r="U37" s="173"/>
      <c r="V37" s="173"/>
      <c r="W37" s="174"/>
    </row>
    <row r="38" spans="11:23">
      <c r="R38" s="4"/>
      <c r="S38" s="4"/>
      <c r="T38" s="4"/>
      <c r="U38" s="4"/>
      <c r="V38" s="4"/>
      <c r="W38" s="4"/>
    </row>
    <row r="39" spans="11:23">
      <c r="Q39" s="17"/>
      <c r="R39" s="4"/>
      <c r="S39" s="4"/>
      <c r="T39" s="4"/>
      <c r="U39" s="4"/>
      <c r="V39" s="4"/>
      <c r="W39" s="4"/>
    </row>
    <row r="40" spans="11:23">
      <c r="R40" s="4"/>
      <c r="S40" s="4"/>
      <c r="T40" s="4"/>
      <c r="U40" s="4"/>
      <c r="V40" s="4"/>
      <c r="W40" s="4"/>
    </row>
    <row r="41" spans="11:23">
      <c r="Q41" s="4"/>
      <c r="R41" s="4"/>
      <c r="S41" s="4"/>
      <c r="T41" s="4"/>
      <c r="U41" s="4"/>
      <c r="V41" s="4"/>
      <c r="W41" s="4"/>
    </row>
    <row r="42" spans="11:23">
      <c r="Q42" s="18"/>
      <c r="R42" s="4"/>
      <c r="S42" s="4"/>
      <c r="T42" s="4"/>
      <c r="U42" s="4"/>
      <c r="V42" s="4"/>
      <c r="W42" s="4"/>
    </row>
  </sheetData>
  <mergeCells count="10">
    <mergeCell ref="P25:W37"/>
    <mergeCell ref="AE15:AE16"/>
    <mergeCell ref="K35:O35"/>
    <mergeCell ref="K36:O36"/>
    <mergeCell ref="K37:O37"/>
    <mergeCell ref="T14:W14"/>
    <mergeCell ref="P14:S14"/>
    <mergeCell ref="Y25:Z25"/>
    <mergeCell ref="Y15:Z15"/>
    <mergeCell ref="L14:O14"/>
  </mergeCells>
  <phoneticPr fontId="0" type="noConversion"/>
  <dataValidations disablePrompts="1" count="2">
    <dataValidation type="decimal" allowBlank="1" showErrorMessage="1" error="Range: 0 to 180 degrees." prompt="0 to 180" sqref="L3:L4 AB4 Z4 X4 V4 T4 R4 P4 N4">
      <formula1>-30</formula1>
      <formula2>180</formula2>
    </dataValidation>
    <dataValidation type="decimal" allowBlank="1" showErrorMessage="1" error="Range: 0 to 180 degrees." prompt="0 to 180" sqref="AF3">
      <formula1>0</formula1>
      <formula2>180</formula2>
    </dataValidation>
  </dataValidations>
  <pageMargins left="0.75" right="0.75" top="1" bottom="1" header="0.5" footer="0.5"/>
  <pageSetup orientation="portrait" r:id="rId1"/>
  <headerFooter alignWithMargins="0"/>
  <ignoredErrors>
    <ignoredError sqref="U18:U20 Q18:Q21 R16 R19:R21 V19:V21 V16:V17 R17 Q16:Q17 U16:U17 R18:T18 V18:W18" formula="1"/>
    <ignoredError sqref="AF4" evalError="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Instructions</vt:lpstr>
      <vt:lpstr>Main</vt:lpstr>
      <vt:lpstr>Data</vt:lpstr>
      <vt:lpstr>Formulas</vt:lpstr>
      <vt:lpstr>a</vt:lpstr>
      <vt:lpstr>b</vt:lpstr>
      <vt:lpstr>cc</vt:lpstr>
      <vt:lpstr>d</vt:lpstr>
      <vt:lpstr>domega</vt:lpstr>
      <vt:lpstr>Fx</vt:lpstr>
      <vt:lpstr>Fy</vt:lpstr>
      <vt:lpstr>omegafinish</vt:lpstr>
      <vt:lpstr>omegainc</vt:lpstr>
      <vt:lpstr>omegastart</vt:lpstr>
      <vt:lpstr>rise</vt:lpstr>
      <vt:lpstr>rr</vt:lpstr>
      <vt:lpstr>s</vt:lpstr>
      <vt:lpstr>weight</vt:lpstr>
      <vt:lpstr>Ymax</vt:lpstr>
    </vt:vector>
  </TitlesOfParts>
  <Company>MIT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slocum</dc:creator>
  <cp:lastModifiedBy>Windows User</cp:lastModifiedBy>
  <cp:lastPrinted>2019-12-26T21:55:49Z</cp:lastPrinted>
  <dcterms:created xsi:type="dcterms:W3CDTF">2002-01-15T10:48:53Z</dcterms:created>
  <dcterms:modified xsi:type="dcterms:W3CDTF">2024-03-21T17:37:42Z</dcterms:modified>
</cp:coreProperties>
</file>