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showHorizontalScroll="0" showVerticalScroll="0" xWindow="8235" yWindow="-60" windowWidth="6375" windowHeight="11760"/>
  </bookViews>
  <sheets>
    <sheet name="Instructions" sheetId="6" r:id="rId1"/>
    <sheet name="Calculations" sheetId="2" r:id="rId2"/>
    <sheet name="Data Table" sheetId="4" state="hidden" r:id="rId3"/>
  </sheets>
  <definedNames>
    <definedName name="_xlnm.Print_Area" localSheetId="1">Calculations!$A$1:$M$37</definedName>
  </definedNames>
  <calcPr calcId="125725"/>
</workbook>
</file>

<file path=xl/calcChain.xml><?xml version="1.0" encoding="utf-8"?>
<calcChain xmlns="http://schemas.openxmlformats.org/spreadsheetml/2006/main">
  <c r="K60" i="4"/>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M3"/>
  <c r="G5" s="1"/>
  <c r="M5"/>
  <c r="D11" i="2"/>
  <c r="C2" i="4"/>
  <c r="C7" s="1"/>
  <c r="D18" i="2"/>
  <c r="D21"/>
  <c r="L7"/>
  <c r="L9"/>
  <c r="L11"/>
  <c r="D17"/>
  <c r="D20"/>
  <c r="D2" i="4"/>
  <c r="M4"/>
  <c r="M6" s="1"/>
  <c r="M7" s="1"/>
  <c r="D8" i="2" s="1"/>
  <c r="B2" i="4" s="1"/>
  <c r="C56"/>
  <c r="D56" s="1"/>
  <c r="C17"/>
  <c r="C34"/>
  <c r="D34" s="1"/>
  <c r="C47"/>
  <c r="C60"/>
  <c r="C6"/>
  <c r="D6" s="1"/>
  <c r="C43"/>
  <c r="D43"/>
  <c r="C5"/>
  <c r="D5"/>
  <c r="H5" s="1"/>
  <c r="C49"/>
  <c r="C58"/>
  <c r="C21"/>
  <c r="D21" s="1"/>
  <c r="C20"/>
  <c r="C24"/>
  <c r="C22"/>
  <c r="C59"/>
  <c r="C27"/>
  <c r="D27" s="1"/>
  <c r="C14"/>
  <c r="D14" s="1"/>
  <c r="C11"/>
  <c r="C33"/>
  <c r="C36"/>
  <c r="C57"/>
  <c r="C13"/>
  <c r="D13" s="1"/>
  <c r="C44"/>
  <c r="C23"/>
  <c r="D23" s="1"/>
  <c r="C35"/>
  <c r="D35" s="1"/>
  <c r="C37"/>
  <c r="C18"/>
  <c r="C42"/>
  <c r="C52"/>
  <c r="C32"/>
  <c r="C54"/>
  <c r="C46"/>
  <c r="D11"/>
  <c r="D37"/>
  <c r="C50"/>
  <c r="C30"/>
  <c r="D30" s="1"/>
  <c r="C26"/>
  <c r="C48"/>
  <c r="D48" s="1"/>
  <c r="C16"/>
  <c r="C19"/>
  <c r="C29"/>
  <c r="C15"/>
  <c r="D15" s="1"/>
  <c r="C31"/>
  <c r="C9"/>
  <c r="D9" s="1"/>
  <c r="C10"/>
  <c r="C55"/>
  <c r="D55" s="1"/>
  <c r="C45"/>
  <c r="C39"/>
  <c r="D39" s="1"/>
  <c r="C51"/>
  <c r="C41"/>
  <c r="D41" s="1"/>
  <c r="C12"/>
  <c r="C38"/>
  <c r="D38" s="1"/>
  <c r="C8"/>
  <c r="C40"/>
  <c r="D40" s="1"/>
  <c r="C25"/>
  <c r="C28"/>
  <c r="C53"/>
  <c r="D33"/>
  <c r="D59"/>
  <c r="D20"/>
  <c r="D47"/>
  <c r="D36"/>
  <c r="D22"/>
  <c r="D58"/>
  <c r="D17"/>
  <c r="D24"/>
  <c r="D49"/>
  <c r="D54"/>
  <c r="D18"/>
  <c r="D44"/>
  <c r="D32"/>
  <c r="D57"/>
  <c r="D52"/>
  <c r="D46"/>
  <c r="D19"/>
  <c r="D12"/>
  <c r="D16"/>
  <c r="D28"/>
  <c r="D25"/>
  <c r="D45"/>
  <c r="D31"/>
  <c r="D50"/>
  <c r="D53"/>
  <c r="D8"/>
  <c r="D51"/>
  <c r="D10"/>
  <c r="D29"/>
  <c r="D26"/>
  <c r="C23" i="2" l="1"/>
  <c r="B18" i="4"/>
  <c r="B36"/>
  <c r="B13"/>
  <c r="B19"/>
  <c r="B55"/>
  <c r="B38"/>
  <c r="B54"/>
  <c r="B22"/>
  <c r="B45"/>
  <c r="B41"/>
  <c r="B29"/>
  <c r="B34"/>
  <c r="B20"/>
  <c r="B50"/>
  <c r="B35"/>
  <c r="B40"/>
  <c r="B31"/>
  <c r="B27"/>
  <c r="B15"/>
  <c r="B16"/>
  <c r="B32"/>
  <c r="F32" s="1"/>
  <c r="B46"/>
  <c r="B39"/>
  <c r="B49"/>
  <c r="B21"/>
  <c r="F21" s="1"/>
  <c r="B6"/>
  <c r="B51"/>
  <c r="B43"/>
  <c r="B37"/>
  <c r="B53"/>
  <c r="B52"/>
  <c r="F52" s="1"/>
  <c r="B7"/>
  <c r="B5"/>
  <c r="I5" s="1"/>
  <c r="B23"/>
  <c r="F23" s="1"/>
  <c r="B26"/>
  <c r="B44"/>
  <c r="F44" s="1"/>
  <c r="B25"/>
  <c r="B14"/>
  <c r="B42"/>
  <c r="B48"/>
  <c r="B28"/>
  <c r="B47"/>
  <c r="F47" s="1"/>
  <c r="B11"/>
  <c r="B33"/>
  <c r="B24"/>
  <c r="B9"/>
  <c r="B8"/>
  <c r="B17"/>
  <c r="F17" s="1"/>
  <c r="B30"/>
  <c r="F30" s="1"/>
  <c r="B12"/>
  <c r="B10"/>
  <c r="H6"/>
  <c r="D7"/>
  <c r="N14"/>
  <c r="D60"/>
  <c r="D42"/>
  <c r="F12" l="1"/>
  <c r="F33"/>
  <c r="F14"/>
  <c r="F46"/>
  <c r="F10"/>
  <c r="F8"/>
  <c r="F24"/>
  <c r="F28"/>
  <c r="F42"/>
  <c r="F37"/>
  <c r="F51"/>
  <c r="F39"/>
  <c r="F35"/>
  <c r="F20"/>
  <c r="F55"/>
  <c r="F56" s="1"/>
  <c r="B56"/>
  <c r="B57" s="1"/>
  <c r="B58" s="1"/>
  <c r="B59" s="1"/>
  <c r="B60" s="1"/>
  <c r="F11"/>
  <c r="F25"/>
  <c r="F26"/>
  <c r="F15"/>
  <c r="F31"/>
  <c r="F29"/>
  <c r="F45"/>
  <c r="F54"/>
  <c r="F13"/>
  <c r="F18"/>
  <c r="I7"/>
  <c r="F7"/>
  <c r="F6"/>
  <c r="G6" s="1"/>
  <c r="J6" s="1"/>
  <c r="I6"/>
  <c r="M14"/>
  <c r="O14" s="1"/>
  <c r="P14" s="1"/>
  <c r="F9"/>
  <c r="F48"/>
  <c r="F53"/>
  <c r="F43"/>
  <c r="F49"/>
  <c r="F16"/>
  <c r="F27"/>
  <c r="F40"/>
  <c r="F50"/>
  <c r="F34"/>
  <c r="F41"/>
  <c r="F22"/>
  <c r="F38"/>
  <c r="F19"/>
  <c r="F36"/>
  <c r="G7" l="1"/>
  <c r="J7" s="1"/>
  <c r="H7"/>
  <c r="F60"/>
  <c r="F57"/>
  <c r="F58" s="1"/>
  <c r="F59" s="1"/>
  <c r="G8" l="1"/>
  <c r="J8" s="1"/>
  <c r="H8"/>
  <c r="I8"/>
  <c r="G9" l="1"/>
  <c r="J9" s="1"/>
  <c r="H9"/>
  <c r="I9"/>
  <c r="H10" l="1"/>
  <c r="I10"/>
  <c r="G10"/>
  <c r="J10" s="1"/>
  <c r="H11" l="1"/>
  <c r="G11"/>
  <c r="J11" s="1"/>
  <c r="I11"/>
  <c r="G12" l="1"/>
  <c r="J12" s="1"/>
  <c r="I12"/>
  <c r="H12"/>
  <c r="G13" l="1"/>
  <c r="J13" s="1"/>
  <c r="H13"/>
  <c r="I13"/>
  <c r="H14" l="1"/>
  <c r="G14"/>
  <c r="J14" s="1"/>
  <c r="I14"/>
  <c r="G15" l="1"/>
  <c r="J15" s="1"/>
  <c r="I15"/>
  <c r="H15"/>
  <c r="H16" l="1"/>
  <c r="G16"/>
  <c r="J16" s="1"/>
  <c r="I16"/>
  <c r="I17" l="1"/>
  <c r="H17"/>
  <c r="G17"/>
  <c r="J17" s="1"/>
  <c r="I18" l="1"/>
  <c r="H18"/>
  <c r="G18"/>
  <c r="J18" s="1"/>
  <c r="G19" l="1"/>
  <c r="J19" s="1"/>
  <c r="I19"/>
  <c r="H19"/>
  <c r="H20" l="1"/>
  <c r="I20"/>
  <c r="G20"/>
  <c r="J20" s="1"/>
  <c r="G21" l="1"/>
  <c r="J21" s="1"/>
  <c r="H21"/>
  <c r="I21"/>
  <c r="H22" l="1"/>
  <c r="I22"/>
  <c r="G22"/>
  <c r="J22" s="1"/>
  <c r="G23" l="1"/>
  <c r="J23" s="1"/>
  <c r="H23"/>
  <c r="I23"/>
  <c r="G24" l="1"/>
  <c r="J24" s="1"/>
  <c r="H24"/>
  <c r="I24"/>
  <c r="H25" l="1"/>
  <c r="I25"/>
  <c r="G25"/>
  <c r="J25" s="1"/>
  <c r="G26" l="1"/>
  <c r="J26" s="1"/>
  <c r="I26"/>
  <c r="H26"/>
  <c r="H27" l="1"/>
  <c r="G27"/>
  <c r="J27" s="1"/>
  <c r="I27"/>
  <c r="I28" l="1"/>
  <c r="H28"/>
  <c r="G28"/>
  <c r="J28" s="1"/>
  <c r="H29" l="1"/>
  <c r="G29"/>
  <c r="J29" s="1"/>
  <c r="I29"/>
  <c r="H30" l="1"/>
  <c r="I30"/>
  <c r="G30"/>
  <c r="J30" s="1"/>
  <c r="D22" i="2" l="1"/>
  <c r="C24" s="1"/>
  <c r="H31" i="4"/>
  <c r="I31"/>
  <c r="G31"/>
  <c r="C25" i="2"/>
  <c r="J31" i="4" l="1"/>
  <c r="I32"/>
  <c r="H32"/>
  <c r="G32"/>
  <c r="J32" s="1"/>
  <c r="H33" l="1"/>
  <c r="G33"/>
  <c r="J33" s="1"/>
  <c r="I33"/>
  <c r="G34" l="1"/>
  <c r="J34" s="1"/>
  <c r="I34"/>
  <c r="H34"/>
  <c r="H35" l="1"/>
  <c r="I35"/>
  <c r="G35"/>
  <c r="J35" s="1"/>
  <c r="G36" l="1"/>
  <c r="J36" s="1"/>
  <c r="H36"/>
  <c r="I36"/>
  <c r="G37" l="1"/>
  <c r="J37" s="1"/>
  <c r="I37"/>
  <c r="H37"/>
  <c r="I38" l="1"/>
  <c r="H38"/>
  <c r="G38"/>
  <c r="J38" s="1"/>
  <c r="H39" l="1"/>
  <c r="I39"/>
  <c r="G39"/>
  <c r="J39" s="1"/>
  <c r="I40" l="1"/>
  <c r="G40"/>
  <c r="J40" s="1"/>
  <c r="H40"/>
  <c r="G41" l="1"/>
  <c r="J41" s="1"/>
  <c r="H41"/>
  <c r="I41"/>
  <c r="G42" l="1"/>
  <c r="J42" s="1"/>
  <c r="H42"/>
  <c r="I42"/>
  <c r="M8"/>
  <c r="N8" s="1"/>
  <c r="H43" l="1"/>
  <c r="I43"/>
  <c r="G43"/>
  <c r="J43" s="1"/>
  <c r="H44" l="1"/>
  <c r="G44"/>
  <c r="J44" s="1"/>
  <c r="I44"/>
  <c r="G45" l="1"/>
  <c r="J45" s="1"/>
  <c r="H45"/>
  <c r="I45"/>
  <c r="G46" l="1"/>
  <c r="J62" s="1"/>
  <c r="I46"/>
  <c r="H46"/>
  <c r="J46" l="1"/>
  <c r="K62"/>
  <c r="I62"/>
  <c r="D27" i="2" s="1"/>
  <c r="H62" i="4"/>
  <c r="D26" i="2" s="1"/>
  <c r="I47" i="4"/>
  <c r="H47"/>
  <c r="G47"/>
  <c r="J47" s="1"/>
  <c r="H48" l="1"/>
  <c r="I48"/>
  <c r="G48"/>
  <c r="J48" s="1"/>
  <c r="G49" l="1"/>
  <c r="J49" s="1"/>
  <c r="I49"/>
  <c r="H49"/>
  <c r="I50" l="1"/>
  <c r="G50"/>
  <c r="J50" s="1"/>
  <c r="H50"/>
  <c r="H51" l="1"/>
  <c r="G51"/>
  <c r="J51" s="1"/>
  <c r="I51"/>
  <c r="H52" l="1"/>
  <c r="G52"/>
  <c r="J52" s="1"/>
  <c r="I52"/>
  <c r="G53" l="1"/>
  <c r="J53" s="1"/>
  <c r="I53"/>
  <c r="H53"/>
  <c r="I54" l="1"/>
  <c r="G54"/>
  <c r="J54" s="1"/>
  <c r="H54"/>
  <c r="G55" l="1"/>
  <c r="J55" s="1"/>
  <c r="H55"/>
  <c r="I55"/>
  <c r="I56" l="1"/>
  <c r="H56"/>
  <c r="G56"/>
  <c r="J56" s="1"/>
  <c r="I57" l="1"/>
  <c r="H57"/>
  <c r="G57"/>
  <c r="J57" s="1"/>
  <c r="I58" l="1"/>
  <c r="G58"/>
  <c r="J58" s="1"/>
  <c r="H58"/>
  <c r="G59" l="1"/>
  <c r="J59" s="1"/>
  <c r="H59"/>
  <c r="I59"/>
  <c r="I60" l="1"/>
  <c r="G60"/>
  <c r="H60"/>
  <c r="D28" i="2" l="1"/>
  <c r="J60" i="4"/>
  <c r="M9" s="1"/>
</calcChain>
</file>

<file path=xl/comments1.xml><?xml version="1.0" encoding="utf-8"?>
<comments xmlns="http://schemas.openxmlformats.org/spreadsheetml/2006/main">
  <authors>
    <author>ODOT User</author>
  </authors>
  <commentList>
    <comment ref="N12" authorId="0">
      <text>
        <r>
          <rPr>
            <b/>
            <sz val="9"/>
            <color indexed="81"/>
            <rFont val="Tahoma"/>
            <charset val="1"/>
          </rPr>
          <t>'=((C6+C5)/2)*60/360 = 3*(C6+C5)</t>
        </r>
        <r>
          <rPr>
            <sz val="9"/>
            <color indexed="81"/>
            <rFont val="Tahoma"/>
            <charset val="1"/>
          </rPr>
          <t xml:space="preserve">
</t>
        </r>
      </text>
    </comment>
  </commentList>
</comments>
</file>

<file path=xl/sharedStrings.xml><?xml version="1.0" encoding="utf-8"?>
<sst xmlns="http://schemas.openxmlformats.org/spreadsheetml/2006/main" count="98" uniqueCount="82">
  <si>
    <t>RPM</t>
  </si>
  <si>
    <t>N-m</t>
  </si>
  <si>
    <t>Mass</t>
  </si>
  <si>
    <t>Meter</t>
  </si>
  <si>
    <t>Kilos</t>
  </si>
  <si>
    <t>to 1</t>
  </si>
  <si>
    <t>mm</t>
  </si>
  <si>
    <t>Thickness</t>
  </si>
  <si>
    <t>Width</t>
  </si>
  <si>
    <t>Gear Reduction</t>
  </si>
  <si>
    <t>Lexan:</t>
  </si>
  <si>
    <t>Steel:</t>
  </si>
  <si>
    <t>Titanium:</t>
  </si>
  <si>
    <t>Aluminum:</t>
  </si>
  <si>
    <t>Magnesuim:</t>
  </si>
  <si>
    <t>Moment of Inertia</t>
  </si>
  <si>
    <t>Total</t>
  </si>
  <si>
    <t>Carbon Fiber:</t>
  </si>
  <si>
    <t>Plywood:</t>
  </si>
  <si>
    <t>inches:</t>
  </si>
  <si>
    <t>kilos:</t>
  </si>
  <si>
    <t>Results</t>
  </si>
  <si>
    <r>
      <t>kg/m</t>
    </r>
    <r>
      <rPr>
        <vertAlign val="superscript"/>
        <sz val="9"/>
        <color indexed="18"/>
        <rFont val="Arial"/>
      </rPr>
      <t>3</t>
    </r>
  </si>
  <si>
    <r>
      <t>KgM</t>
    </r>
    <r>
      <rPr>
        <vertAlign val="superscript"/>
        <sz val="9"/>
        <color indexed="18"/>
        <rFont val="Arial"/>
      </rPr>
      <t>2</t>
    </r>
  </si>
  <si>
    <t>Seconds</t>
  </si>
  <si>
    <t>Time Constant</t>
  </si>
  <si>
    <t>Max RPM</t>
  </si>
  <si>
    <t>% RPM</t>
  </si>
  <si>
    <t>MOI</t>
  </si>
  <si>
    <t>Joules</t>
  </si>
  <si>
    <t>Conversions</t>
  </si>
  <si>
    <t>oz-in:</t>
  </si>
  <si>
    <t>meters</t>
  </si>
  <si>
    <t>pounds</t>
  </si>
  <si>
    <t>from</t>
  </si>
  <si>
    <t>to</t>
  </si>
  <si>
    <r>
      <t>kg/m</t>
    </r>
    <r>
      <rPr>
        <b/>
        <vertAlign val="superscript"/>
        <sz val="9"/>
        <color indexed="18"/>
        <rFont val="Arial"/>
        <family val="2"/>
      </rPr>
      <t>3</t>
    </r>
  </si>
  <si>
    <t>Run Amok Combat Robotics</t>
  </si>
  <si>
    <t>Material Densities</t>
  </si>
  <si>
    <t>Material Density</t>
  </si>
  <si>
    <t>Motor and Drive</t>
  </si>
  <si>
    <t>No-Load Speed</t>
  </si>
  <si>
    <t>Stall Torque</t>
  </si>
  <si>
    <t xml:space="preserve">Click on the 'Calculations' tab below to go to the main worksheet. </t>
  </si>
  <si>
    <t>Degrees Increment</t>
  </si>
  <si>
    <t>Degrees Cumulative</t>
  </si>
  <si>
    <t>Hammer Calcs</t>
  </si>
  <si>
    <t>1 KG exerts 9.8 newtons of force due to gravity.</t>
  </si>
  <si>
    <t>newtons of hammer downforce due to gravity</t>
  </si>
  <si>
    <t>meter handle length</t>
  </si>
  <si>
    <t>newton-meter motor torque reduction</t>
  </si>
  <si>
    <t>adjusted motor torque (N-m)</t>
  </si>
  <si>
    <t>Hammer Head</t>
  </si>
  <si>
    <t>Handle</t>
  </si>
  <si>
    <t>Effective Length</t>
  </si>
  <si>
    <t>Net Force at Stall</t>
  </si>
  <si>
    <t>start degrees above horizontal</t>
  </si>
  <si>
    <r>
      <t xml:space="preserve">Fill in the </t>
    </r>
    <r>
      <rPr>
        <b/>
        <sz val="9"/>
        <color indexed="40"/>
        <rFont val="Arial"/>
        <family val="2"/>
      </rPr>
      <t>blue information boxes</t>
    </r>
    <r>
      <rPr>
        <b/>
        <sz val="9"/>
        <color indexed="18"/>
        <rFont val="Arial"/>
        <family val="2"/>
      </rPr>
      <t xml:space="preserve"> on the 'Calculations' sheet as appropriate.  Handle length should be set to the distance between the pivot point and the center of the hammer mass, ignoring any overhang on either end.  Note that the calculations do not include the inertia of the motor armature, but do include a correction for gravity.</t>
    </r>
  </si>
  <si>
    <r>
      <t xml:space="preserve">Instructions: </t>
    </r>
    <r>
      <rPr>
        <sz val="11"/>
        <color indexed="18"/>
        <rFont val="Arial"/>
        <family val="2"/>
      </rPr>
      <t>Run Amok Electric Hammer spreadsheet</t>
    </r>
  </si>
  <si>
    <r>
      <t xml:space="preserve">This spreadsheet calculates the mass and moment of inertia for an overhead hammer or axe rotary weapon made up of a bar handle plus head.  </t>
    </r>
    <r>
      <rPr>
        <b/>
        <sz val="9"/>
        <color indexed="60"/>
        <rFont val="Arial"/>
        <family val="2"/>
      </rPr>
      <t>Default settings assume that the weapon traverses a vertical arc of 180 degrees and that it starts and ends in a horizontal orientation.</t>
    </r>
    <r>
      <rPr>
        <b/>
        <sz val="9"/>
        <color indexed="18"/>
        <rFont val="Arial"/>
        <family val="2"/>
      </rPr>
      <t xml:space="preserve">  Results are approximate and should be used only as a design guide.</t>
    </r>
  </si>
  <si>
    <r>
      <t>Warning</t>
    </r>
    <r>
      <rPr>
        <b/>
        <sz val="9"/>
        <color indexed="18"/>
        <rFont val="Arial"/>
        <family val="2"/>
      </rPr>
      <t>:</t>
    </r>
    <r>
      <rPr>
        <b/>
        <sz val="9"/>
        <color indexed="60"/>
        <rFont val="Arial"/>
        <family val="2"/>
      </rPr>
      <t xml:space="preserve"> electric hammer weapons are in general ineffective. </t>
    </r>
    <r>
      <rPr>
        <b/>
        <sz val="9"/>
        <color indexed="18"/>
        <rFont val="Arial"/>
        <family val="2"/>
      </rPr>
      <t xml:space="preserve"> A full spinner weapon of comparable mass and power might typically produce twenty times the impact energy of an overhead hammer.  This spreadsheet is primarilly an exercise in weapon modeling and is not intended to encourage the construction of electric hammer weaponry.</t>
    </r>
  </si>
  <si>
    <r>
      <t>Note</t>
    </r>
    <r>
      <rPr>
        <b/>
        <sz val="9"/>
        <color indexed="18"/>
        <rFont val="Arial"/>
        <family val="2"/>
      </rPr>
      <t xml:space="preserve">: </t>
    </r>
    <r>
      <rPr>
        <b/>
        <sz val="9"/>
        <color indexed="60"/>
        <rFont val="Arial"/>
        <family val="2"/>
      </rPr>
      <t>brushless motors are generally unsuitable for hammer actuation.</t>
    </r>
    <r>
      <rPr>
        <b/>
        <sz val="9"/>
        <color indexed="18"/>
        <rFont val="Arial"/>
        <family val="2"/>
      </rPr>
      <t xml:space="preserve">  They are not designed for prolonged use near stall and brushless controllers typically have a 'soft start' feature that reduces both starting torque and effective low-speed power.</t>
    </r>
  </si>
  <si>
    <t>Degrees</t>
  </si>
  <si>
    <t>Range of Motion</t>
  </si>
  <si>
    <t>Sec</t>
  </si>
  <si>
    <t>at DPS</t>
  </si>
  <si>
    <t>Cumulative</t>
  </si>
  <si>
    <t>Notes:</t>
  </si>
  <si>
    <t>Terminal speed (m/sec )</t>
  </si>
  <si>
    <t>Speed (m/sec)</t>
  </si>
  <si>
    <t>Version 2.3</t>
  </si>
  <si>
    <t>@ 180 degrees</t>
  </si>
  <si>
    <t>Terminal Speed:</t>
  </si>
  <si>
    <t>Time to Strike:</t>
  </si>
  <si>
    <t>joules</t>
  </si>
  <si>
    <t>second</t>
  </si>
  <si>
    <t>m/sec</t>
  </si>
  <si>
    <t>Spreadsheet v.2.3 copyright 2010 and 2024 by Mark Joerger</t>
  </si>
  <si>
    <t>Read energy and time on 180° rotation line at chart right.</t>
  </si>
  <si>
    <r>
      <t>Combat Robot Electric Hammer: Moment of Inertia, Energy, and Actuation Speed Calculation</t>
    </r>
    <r>
      <rPr>
        <sz val="11"/>
        <color rgb="FF002060"/>
        <rFont val="Arial"/>
        <family val="2"/>
      </rPr>
      <t xml:space="preserve"> </t>
    </r>
    <r>
      <rPr>
        <b/>
        <sz val="11"/>
        <color rgb="FF002060"/>
        <rFont val="Arial"/>
        <family val="2"/>
      </rPr>
      <t xml:space="preserve"> -  Version 2.3</t>
    </r>
  </si>
  <si>
    <t xml:space="preserve">The spreadsheet calculates the kinetic energy, terminal speed, and approximate activation time for the weapon when powered by a specific PMDC electric motor and gear reduction.  Conversions for english / metric units are provided in a 'conversions' table.  The example numbers provided with the spreadsheet are for a generic RS-550 motor geared 38:1 actuating a 0.5 kilo hammer head attached to a 0.3 meter titanium handle. </t>
  </si>
  <si>
    <t>Kinetic Energy:</t>
  </si>
</sst>
</file>

<file path=xl/styles.xml><?xml version="1.0" encoding="utf-8"?>
<styleSheet xmlns="http://schemas.openxmlformats.org/spreadsheetml/2006/main">
  <numFmts count="4">
    <numFmt numFmtId="43" formatCode="_(* #,##0.00_);_(* \(#,##0.00\);_(* &quot;-&quot;??_);_(@_)"/>
    <numFmt numFmtId="164" formatCode="0.000"/>
    <numFmt numFmtId="165" formatCode="0.0"/>
    <numFmt numFmtId="166" formatCode="0.0000"/>
  </numFmts>
  <fonts count="43">
    <font>
      <sz val="10"/>
      <name val="Arial"/>
    </font>
    <font>
      <sz val="10"/>
      <name val="Arial"/>
    </font>
    <font>
      <u/>
      <sz val="10"/>
      <color indexed="12"/>
      <name val="Arial"/>
    </font>
    <font>
      <sz val="9"/>
      <name val="Arial"/>
    </font>
    <font>
      <sz val="9"/>
      <color indexed="12"/>
      <name val="Arial"/>
    </font>
    <font>
      <sz val="9"/>
      <color indexed="10"/>
      <name val="Arial"/>
    </font>
    <font>
      <b/>
      <sz val="9"/>
      <color indexed="10"/>
      <name val="Arial"/>
      <family val="2"/>
    </font>
    <font>
      <sz val="10"/>
      <color indexed="55"/>
      <name val="Arial"/>
    </font>
    <font>
      <sz val="9"/>
      <color indexed="55"/>
      <name val="Arial"/>
    </font>
    <font>
      <sz val="9"/>
      <color indexed="9"/>
      <name val="Arial"/>
    </font>
    <font>
      <b/>
      <sz val="9"/>
      <color indexed="18"/>
      <name val="Arial"/>
      <family val="2"/>
    </font>
    <font>
      <sz val="9"/>
      <color indexed="18"/>
      <name val="Arial"/>
      <family val="2"/>
    </font>
    <font>
      <sz val="9"/>
      <color indexed="18"/>
      <name val="Arial"/>
    </font>
    <font>
      <vertAlign val="superscript"/>
      <sz val="9"/>
      <color indexed="18"/>
      <name val="Arial"/>
    </font>
    <font>
      <sz val="10"/>
      <color indexed="10"/>
      <name val="Arial"/>
    </font>
    <font>
      <sz val="10"/>
      <color indexed="18"/>
      <name val="Arial"/>
    </font>
    <font>
      <b/>
      <vertAlign val="superscript"/>
      <sz val="9"/>
      <color indexed="18"/>
      <name val="Arial"/>
      <family val="2"/>
    </font>
    <font>
      <u/>
      <sz val="9"/>
      <color indexed="9"/>
      <name val="Arial"/>
    </font>
    <font>
      <sz val="10"/>
      <name val="Arial"/>
      <family val="2"/>
    </font>
    <font>
      <sz val="9"/>
      <color indexed="9"/>
      <name val="Arial"/>
      <family val="2"/>
    </font>
    <font>
      <b/>
      <sz val="9"/>
      <color indexed="9"/>
      <name val="Arial"/>
    </font>
    <font>
      <b/>
      <sz val="9"/>
      <color indexed="40"/>
      <name val="Arial"/>
      <family val="2"/>
    </font>
    <font>
      <b/>
      <sz val="11"/>
      <color indexed="18"/>
      <name val="Arial"/>
      <family val="2"/>
    </font>
    <font>
      <sz val="11"/>
      <color indexed="18"/>
      <name val="Arial"/>
      <family val="2"/>
    </font>
    <font>
      <b/>
      <sz val="9"/>
      <color indexed="60"/>
      <name val="Arial"/>
      <family val="2"/>
    </font>
    <font>
      <sz val="9"/>
      <color indexed="12"/>
      <name val="Arial"/>
      <family val="2"/>
    </font>
    <font>
      <sz val="9"/>
      <color indexed="81"/>
      <name val="Tahoma"/>
      <charset val="1"/>
    </font>
    <font>
      <b/>
      <sz val="9"/>
      <color indexed="81"/>
      <name val="Tahoma"/>
      <charset val="1"/>
    </font>
    <font>
      <sz val="9"/>
      <color theme="0" tint="-0.499984740745262"/>
      <name val="Arial"/>
      <family val="2"/>
    </font>
    <font>
      <sz val="10"/>
      <color theme="0"/>
      <name val="Arial"/>
      <family val="2"/>
    </font>
    <font>
      <sz val="10"/>
      <color rgb="FFFF0000"/>
      <name val="Arial"/>
      <family val="2"/>
    </font>
    <font>
      <u/>
      <sz val="10"/>
      <color theme="8" tint="0.39997558519241921"/>
      <name val="Arial"/>
      <family val="2"/>
    </font>
    <font>
      <sz val="10"/>
      <color theme="0" tint="-0.14999847407452621"/>
      <name val="Arial"/>
      <family val="2"/>
    </font>
    <font>
      <b/>
      <sz val="9"/>
      <color theme="0"/>
      <name val="Arial"/>
      <family val="2"/>
    </font>
    <font>
      <sz val="10"/>
      <color rgb="FF0070C0"/>
      <name val="Arial"/>
      <family val="2"/>
    </font>
    <font>
      <sz val="10"/>
      <color indexed="18"/>
      <name val="Arial"/>
      <family val="2"/>
    </font>
    <font>
      <sz val="9"/>
      <color theme="0"/>
      <name val="Arial"/>
      <family val="2"/>
    </font>
    <font>
      <b/>
      <sz val="10"/>
      <color theme="0"/>
      <name val="Arial"/>
      <family val="2"/>
    </font>
    <font>
      <sz val="9"/>
      <color rgb="FFFF0000"/>
      <name val="Arial"/>
      <family val="2"/>
    </font>
    <font>
      <sz val="9"/>
      <color rgb="FF002060"/>
      <name val="Arial"/>
      <family val="2"/>
    </font>
    <font>
      <b/>
      <sz val="11"/>
      <color rgb="FF002060"/>
      <name val="Arial"/>
      <family val="2"/>
    </font>
    <font>
      <sz val="11"/>
      <color rgb="FF002060"/>
      <name val="Arial"/>
      <family val="2"/>
    </font>
    <font>
      <b/>
      <sz val="11"/>
      <color indexed="10"/>
      <name val="Arial"/>
      <family val="2"/>
    </font>
  </fonts>
  <fills count="13">
    <fill>
      <patternFill patternType="none"/>
    </fill>
    <fill>
      <patternFill patternType="gray125"/>
    </fill>
    <fill>
      <patternFill patternType="solid">
        <fgColor indexed="41"/>
        <bgColor indexed="64"/>
      </patternFill>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theme="0" tint="-0.499984740745262"/>
        <bgColor indexed="64"/>
      </patternFill>
    </fill>
    <fill>
      <patternFill patternType="solid">
        <fgColor theme="0" tint="-0.499984740745262"/>
        <bgColor indexed="9"/>
      </patternFill>
    </fill>
    <fill>
      <patternFill patternType="solid">
        <fgColor theme="5" tint="-0.499984740745262"/>
        <bgColor indexed="64"/>
      </patternFill>
    </fill>
    <fill>
      <patternFill patternType="solid">
        <fgColor theme="2"/>
        <bgColor indexed="64"/>
      </patternFill>
    </fill>
    <fill>
      <patternFill patternType="solid">
        <fgColor rgb="FFCCFFCC"/>
        <bgColor indexed="64"/>
      </patternFill>
    </fill>
    <fill>
      <patternFill patternType="solid">
        <fgColor rgb="FFC00000"/>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theme="6" tint="0.39994506668294322"/>
      </top>
      <bottom/>
      <diagonal/>
    </border>
    <border>
      <left/>
      <right/>
      <top style="thin">
        <color theme="6" tint="0.39994506668294322"/>
      </top>
      <bottom/>
      <diagonal/>
    </border>
    <border>
      <left/>
      <right style="thin">
        <color indexed="64"/>
      </right>
      <top style="thin">
        <color theme="6" tint="0.39994506668294322"/>
      </top>
      <bottom/>
      <diagonal/>
    </border>
    <border>
      <left style="thin">
        <color indexed="64"/>
      </left>
      <right/>
      <top style="thin">
        <color indexed="64"/>
      </top>
      <bottom style="thin">
        <color theme="6" tint="0.39994506668294322"/>
      </bottom>
      <diagonal/>
    </border>
    <border>
      <left/>
      <right/>
      <top style="thin">
        <color indexed="64"/>
      </top>
      <bottom style="thin">
        <color theme="6" tint="0.39994506668294322"/>
      </bottom>
      <diagonal/>
    </border>
    <border>
      <left/>
      <right style="thin">
        <color indexed="64"/>
      </right>
      <top style="thin">
        <color indexed="64"/>
      </top>
      <bottom style="thin">
        <color theme="6" tint="0.39994506668294322"/>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74">
    <xf numFmtId="0" fontId="0" fillId="0" borderId="0" xfId="0"/>
    <xf numFmtId="0" fontId="3" fillId="0" borderId="0" xfId="0" applyFont="1"/>
    <xf numFmtId="0" fontId="4" fillId="2" borderId="1" xfId="1" applyNumberFormat="1" applyFont="1" applyFill="1" applyBorder="1" applyProtection="1">
      <protection locked="0"/>
    </xf>
    <xf numFmtId="0" fontId="4" fillId="2" borderId="1" xfId="0" applyFont="1" applyFill="1" applyBorder="1" applyProtection="1">
      <protection locked="0"/>
    </xf>
    <xf numFmtId="164" fontId="4" fillId="2" borderId="1" xfId="0" applyNumberFormat="1" applyFont="1" applyFill="1" applyBorder="1" applyProtection="1">
      <protection locked="0"/>
    </xf>
    <xf numFmtId="165" fontId="4" fillId="2" borderId="1" xfId="0" applyNumberFormat="1" applyFont="1" applyFill="1" applyBorder="1" applyProtection="1">
      <protection locked="0"/>
    </xf>
    <xf numFmtId="2" fontId="5" fillId="0" borderId="1" xfId="0" applyNumberFormat="1" applyFont="1" applyBorder="1"/>
    <xf numFmtId="0" fontId="0" fillId="3" borderId="0" xfId="0" applyFill="1"/>
    <xf numFmtId="0" fontId="12" fillId="0" borderId="2" xfId="0" applyFont="1" applyBorder="1" applyAlignment="1">
      <alignment horizontal="right" indent="1"/>
    </xf>
    <xf numFmtId="0" fontId="12" fillId="0" borderId="3" xfId="0" applyFont="1" applyBorder="1" applyAlignment="1">
      <alignment horizontal="right" indent="1"/>
    </xf>
    <xf numFmtId="0" fontId="12" fillId="0" borderId="4" xfId="0" applyFont="1" applyBorder="1" applyAlignment="1">
      <alignment horizontal="right" indent="1"/>
    </xf>
    <xf numFmtId="0" fontId="12" fillId="0" borderId="5" xfId="0" applyFont="1" applyBorder="1" applyAlignment="1">
      <alignment horizontal="right" indent="1"/>
    </xf>
    <xf numFmtId="0" fontId="12" fillId="0" borderId="6" xfId="0" applyFont="1" applyBorder="1" applyAlignment="1">
      <alignment horizontal="left" indent="1"/>
    </xf>
    <xf numFmtId="0" fontId="12" fillId="0" borderId="7" xfId="0" applyFont="1" applyBorder="1" applyAlignment="1">
      <alignment horizontal="left" indent="1"/>
    </xf>
    <xf numFmtId="0" fontId="12" fillId="0" borderId="8" xfId="0" applyFont="1" applyBorder="1" applyAlignment="1">
      <alignment horizontal="left" indent="1"/>
    </xf>
    <xf numFmtId="0" fontId="12" fillId="0" borderId="9" xfId="0" applyFont="1" applyFill="1" applyBorder="1" applyAlignment="1">
      <alignment horizontal="center"/>
    </xf>
    <xf numFmtId="0" fontId="12" fillId="0" borderId="1" xfId="0" applyFont="1" applyFill="1" applyBorder="1" applyAlignment="1">
      <alignment horizontal="center"/>
    </xf>
    <xf numFmtId="0" fontId="12" fillId="0" borderId="3" xfId="0" applyFont="1" applyFill="1" applyBorder="1" applyAlignment="1">
      <alignment horizontal="right" indent="1"/>
    </xf>
    <xf numFmtId="0" fontId="12" fillId="0" borderId="4" xfId="0" applyFont="1" applyFill="1" applyBorder="1" applyAlignment="1">
      <alignment horizontal="right" indent="1"/>
    </xf>
    <xf numFmtId="2" fontId="5" fillId="0" borderId="9" xfId="0" applyNumberFormat="1" applyFont="1" applyBorder="1" applyAlignment="1">
      <alignment horizontal="center"/>
    </xf>
    <xf numFmtId="0" fontId="4" fillId="2" borderId="10" xfId="0" applyFont="1" applyFill="1" applyBorder="1" applyAlignment="1" applyProtection="1">
      <alignment horizontal="center"/>
      <protection locked="0"/>
    </xf>
    <xf numFmtId="0" fontId="15" fillId="0" borderId="11" xfId="0" applyFont="1" applyBorder="1" applyAlignment="1">
      <alignment horizontal="center"/>
    </xf>
    <xf numFmtId="0" fontId="15" fillId="0" borderId="12" xfId="0" applyFont="1" applyBorder="1" applyAlignment="1">
      <alignment horizontal="center"/>
    </xf>
    <xf numFmtId="0" fontId="15" fillId="0" borderId="13" xfId="0" applyFont="1" applyBorder="1" applyAlignment="1">
      <alignment horizontal="center"/>
    </xf>
    <xf numFmtId="0" fontId="15" fillId="0" borderId="14" xfId="0" applyFont="1" applyBorder="1" applyAlignment="1">
      <alignment horizontal="center"/>
    </xf>
    <xf numFmtId="0" fontId="12" fillId="4" borderId="4" xfId="0" applyFont="1" applyFill="1" applyBorder="1" applyAlignment="1">
      <alignment horizontal="center"/>
    </xf>
    <xf numFmtId="0" fontId="12" fillId="4" borderId="8" xfId="0" applyFont="1" applyFill="1" applyBorder="1" applyAlignment="1">
      <alignment horizontal="center"/>
    </xf>
    <xf numFmtId="0" fontId="10" fillId="4" borderId="15" xfId="0" applyFont="1" applyFill="1" applyBorder="1" applyAlignment="1">
      <alignment horizontal="center"/>
    </xf>
    <xf numFmtId="0" fontId="10" fillId="4" borderId="1" xfId="0" applyFont="1" applyFill="1" applyBorder="1" applyAlignment="1">
      <alignment horizontal="center" vertical="center"/>
    </xf>
    <xf numFmtId="2" fontId="14" fillId="0" borderId="1" xfId="0" applyNumberFormat="1" applyFont="1" applyBorder="1" applyAlignment="1">
      <alignment horizontal="center"/>
    </xf>
    <xf numFmtId="1" fontId="14" fillId="0" borderId="1" xfId="0" applyNumberFormat="1" applyFont="1" applyBorder="1" applyAlignment="1">
      <alignment horizontal="center"/>
    </xf>
    <xf numFmtId="0" fontId="15" fillId="4" borderId="1" xfId="0" applyFont="1" applyFill="1" applyBorder="1" applyAlignment="1">
      <alignment horizontal="center"/>
    </xf>
    <xf numFmtId="9" fontId="15" fillId="0" borderId="1" xfId="3" applyFont="1" applyBorder="1" applyAlignment="1">
      <alignment horizontal="center"/>
    </xf>
    <xf numFmtId="1" fontId="14" fillId="0" borderId="1" xfId="1" applyNumberFormat="1" applyFont="1" applyBorder="1" applyAlignment="1">
      <alignment horizontal="center"/>
    </xf>
    <xf numFmtId="164" fontId="5" fillId="0" borderId="9" xfId="0" applyNumberFormat="1" applyFont="1" applyBorder="1" applyAlignment="1">
      <alignment horizontal="center"/>
    </xf>
    <xf numFmtId="0" fontId="10" fillId="4" borderId="12" xfId="0" applyFont="1" applyFill="1" applyBorder="1" applyAlignment="1">
      <alignment horizontal="center" vertical="center" wrapText="1"/>
    </xf>
    <xf numFmtId="0" fontId="0" fillId="0" borderId="1" xfId="0" applyBorder="1"/>
    <xf numFmtId="166" fontId="5" fillId="0" borderId="1" xfId="0" applyNumberFormat="1" applyFont="1" applyBorder="1"/>
    <xf numFmtId="0" fontId="12" fillId="0" borderId="16" xfId="0" applyFont="1" applyBorder="1" applyAlignment="1">
      <alignment horizontal="right" indent="1"/>
    </xf>
    <xf numFmtId="0" fontId="12" fillId="0" borderId="17" xfId="0" applyFont="1" applyBorder="1" applyAlignment="1">
      <alignment horizontal="left" indent="1"/>
    </xf>
    <xf numFmtId="0" fontId="12" fillId="0" borderId="9" xfId="0" applyFont="1" applyBorder="1" applyAlignment="1">
      <alignment horizontal="right" indent="1"/>
    </xf>
    <xf numFmtId="166" fontId="5" fillId="0" borderId="9" xfId="0" applyNumberFormat="1" applyFont="1" applyBorder="1"/>
    <xf numFmtId="166" fontId="5" fillId="0" borderId="1" xfId="0" applyNumberFormat="1" applyFont="1" applyFill="1" applyBorder="1"/>
    <xf numFmtId="0" fontId="0" fillId="2" borderId="1" xfId="0" applyFill="1" applyBorder="1" applyProtection="1">
      <protection locked="0"/>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1" fontId="28" fillId="6" borderId="0" xfId="0" applyNumberFormat="1" applyFont="1" applyFill="1"/>
    <xf numFmtId="0" fontId="8" fillId="6" borderId="0" xfId="0" applyFont="1" applyFill="1"/>
    <xf numFmtId="0" fontId="0" fillId="6" borderId="0" xfId="0" applyFill="1"/>
    <xf numFmtId="0" fontId="3" fillId="6" borderId="0" xfId="0" applyFont="1" applyFill="1"/>
    <xf numFmtId="0" fontId="19" fillId="7" borderId="0" xfId="0" applyFont="1" applyFill="1" applyBorder="1" applyAlignment="1"/>
    <xf numFmtId="0" fontId="0" fillId="7" borderId="0" xfId="0" applyFill="1"/>
    <xf numFmtId="0" fontId="11" fillId="6" borderId="0" xfId="0" applyFont="1" applyFill="1"/>
    <xf numFmtId="0" fontId="12" fillId="6" borderId="0" xfId="0" applyFont="1" applyFill="1" applyAlignment="1">
      <alignment horizontal="right" indent="1"/>
    </xf>
    <xf numFmtId="0" fontId="12" fillId="6" borderId="0" xfId="0" applyFont="1" applyFill="1" applyAlignment="1">
      <alignment horizontal="left" indent="1"/>
    </xf>
    <xf numFmtId="0" fontId="3" fillId="6" borderId="0" xfId="0" applyFont="1" applyFill="1" applyBorder="1" applyAlignment="1">
      <alignment horizontal="left" indent="1"/>
    </xf>
    <xf numFmtId="0" fontId="3" fillId="6" borderId="0" xfId="0" applyFont="1" applyFill="1" applyAlignment="1">
      <alignment horizontal="left" indent="1"/>
    </xf>
    <xf numFmtId="0" fontId="7" fillId="6" borderId="0" xfId="0" applyFont="1" applyFill="1"/>
    <xf numFmtId="2" fontId="5" fillId="6" borderId="0" xfId="0" applyNumberFormat="1" applyFont="1" applyFill="1"/>
    <xf numFmtId="0" fontId="11" fillId="6" borderId="0" xfId="0" applyFont="1" applyFill="1" applyAlignment="1">
      <alignment horizontal="right"/>
    </xf>
    <xf numFmtId="0" fontId="10" fillId="6" borderId="0" xfId="0" applyFont="1" applyFill="1"/>
    <xf numFmtId="0" fontId="3" fillId="6" borderId="0" xfId="0" applyFont="1" applyFill="1" applyBorder="1" applyAlignment="1">
      <alignment horizontal="center"/>
    </xf>
    <xf numFmtId="0" fontId="3" fillId="6" borderId="0" xfId="0" applyFont="1" applyFill="1" applyBorder="1"/>
    <xf numFmtId="0" fontId="0" fillId="6" borderId="0" xfId="0" applyFill="1" applyBorder="1"/>
    <xf numFmtId="0" fontId="9" fillId="6" borderId="0" xfId="0" applyFont="1" applyFill="1" applyBorder="1" applyAlignment="1"/>
    <xf numFmtId="0" fontId="17" fillId="6" borderId="0" xfId="2" applyFont="1" applyFill="1" applyBorder="1" applyAlignment="1" applyProtection="1"/>
    <xf numFmtId="0" fontId="19" fillId="7" borderId="0" xfId="0" applyFont="1" applyFill="1" applyAlignment="1"/>
    <xf numFmtId="0" fontId="9" fillId="6" borderId="0" xfId="0" applyFont="1" applyFill="1" applyBorder="1" applyAlignment="1">
      <alignment horizontal="center"/>
    </xf>
    <xf numFmtId="0" fontId="17" fillId="6" borderId="0" xfId="2" applyFont="1" applyFill="1" applyBorder="1" applyAlignment="1" applyProtection="1">
      <alignment horizontal="center"/>
    </xf>
    <xf numFmtId="2" fontId="0" fillId="0" borderId="1" xfId="0" applyNumberFormat="1" applyBorder="1"/>
    <xf numFmtId="0" fontId="25" fillId="2" borderId="1" xfId="0" applyFont="1" applyFill="1" applyBorder="1" applyProtection="1">
      <protection locked="0"/>
    </xf>
    <xf numFmtId="164" fontId="14" fillId="0" borderId="1" xfId="0" applyNumberFormat="1" applyFont="1" applyBorder="1" applyAlignment="1">
      <alignment horizontal="center"/>
    </xf>
    <xf numFmtId="165" fontId="14" fillId="0" borderId="1" xfId="1" applyNumberFormat="1" applyFont="1" applyBorder="1" applyAlignment="1">
      <alignment horizontal="center"/>
    </xf>
    <xf numFmtId="165" fontId="0" fillId="0" borderId="1" xfId="0" applyNumberFormat="1" applyBorder="1" applyAlignment="1">
      <alignment horizontal="right" indent="1"/>
    </xf>
    <xf numFmtId="2" fontId="0" fillId="0" borderId="1" xfId="0" applyNumberFormat="1" applyBorder="1" applyAlignment="1">
      <alignment horizontal="right" indent="1"/>
    </xf>
    <xf numFmtId="2" fontId="29" fillId="8" borderId="1" xfId="0" applyNumberFormat="1" applyFont="1" applyFill="1" applyBorder="1" applyAlignment="1">
      <alignment horizontal="right" indent="1"/>
    </xf>
    <xf numFmtId="164" fontId="0" fillId="0" borderId="0" xfId="0" applyNumberFormat="1"/>
    <xf numFmtId="0" fontId="19" fillId="6" borderId="0" xfId="0" applyFont="1" applyFill="1" applyBorder="1" applyAlignment="1">
      <alignment horizontal="left"/>
    </xf>
    <xf numFmtId="0" fontId="12" fillId="0" borderId="14" xfId="0" applyFont="1" applyBorder="1" applyAlignment="1">
      <alignment horizontal="right" indent="1"/>
    </xf>
    <xf numFmtId="0" fontId="25" fillId="2" borderId="12" xfId="0" applyFont="1" applyFill="1" applyBorder="1" applyProtection="1">
      <protection locked="0"/>
    </xf>
    <xf numFmtId="0" fontId="31" fillId="6" borderId="0" xfId="2" applyFont="1" applyFill="1" applyBorder="1" applyAlignment="1" applyProtection="1">
      <alignment horizontal="left"/>
    </xf>
    <xf numFmtId="165" fontId="14" fillId="0" borderId="1" xfId="0" applyNumberFormat="1" applyFont="1" applyBorder="1" applyAlignment="1">
      <alignment horizontal="center"/>
    </xf>
    <xf numFmtId="2" fontId="0" fillId="9" borderId="1" xfId="0" applyNumberFormat="1" applyFill="1" applyBorder="1" applyAlignment="1">
      <alignment horizontal="right" indent="1"/>
    </xf>
    <xf numFmtId="166" fontId="0" fillId="0" borderId="0" xfId="0" applyNumberFormat="1"/>
    <xf numFmtId="2" fontId="0" fillId="0" borderId="0" xfId="0" applyNumberFormat="1"/>
    <xf numFmtId="0" fontId="0" fillId="0" borderId="0" xfId="0" applyAlignment="1">
      <alignment horizontal="center"/>
    </xf>
    <xf numFmtId="2" fontId="32" fillId="0" borderId="0" xfId="0" applyNumberFormat="1" applyFont="1"/>
    <xf numFmtId="165" fontId="0" fillId="0" borderId="0" xfId="0" applyNumberFormat="1"/>
    <xf numFmtId="164" fontId="14" fillId="0" borderId="1" xfId="1" applyNumberFormat="1" applyFont="1" applyBorder="1" applyAlignment="1">
      <alignment horizontal="center"/>
    </xf>
    <xf numFmtId="0" fontId="0" fillId="0" borderId="3" xfId="0" applyBorder="1" applyAlignment="1"/>
    <xf numFmtId="166" fontId="0" fillId="0" borderId="1" xfId="0" applyNumberFormat="1" applyBorder="1"/>
    <xf numFmtId="165" fontId="0" fillId="0" borderId="1" xfId="0" applyNumberFormat="1" applyBorder="1"/>
    <xf numFmtId="0" fontId="18" fillId="9" borderId="1" xfId="0" applyFont="1" applyFill="1" applyBorder="1" applyAlignment="1">
      <alignment horizontal="center"/>
    </xf>
    <xf numFmtId="1" fontId="30" fillId="0" borderId="1" xfId="0" applyNumberFormat="1" applyFont="1" applyBorder="1" applyAlignment="1">
      <alignment horizontal="right" indent="1"/>
    </xf>
    <xf numFmtId="2" fontId="14" fillId="0" borderId="1" xfId="0" applyNumberFormat="1" applyFont="1" applyBorder="1" applyAlignment="1">
      <alignment horizontal="right" indent="1"/>
    </xf>
    <xf numFmtId="0" fontId="14" fillId="0" borderId="1" xfId="0" applyFont="1" applyBorder="1" applyAlignment="1">
      <alignment horizontal="right" indent="1"/>
    </xf>
    <xf numFmtId="164" fontId="14" fillId="0" borderId="1" xfId="0" applyNumberFormat="1" applyFont="1" applyBorder="1" applyAlignment="1">
      <alignment horizontal="right" indent="1"/>
    </xf>
    <xf numFmtId="9" fontId="34" fillId="0" borderId="9" xfId="3" applyFont="1" applyBorder="1" applyAlignment="1">
      <alignment horizontal="right" indent="1"/>
    </xf>
    <xf numFmtId="2" fontId="34" fillId="0" borderId="1" xfId="0" applyNumberFormat="1" applyFont="1" applyBorder="1" applyAlignment="1">
      <alignment horizontal="right" indent="1"/>
    </xf>
    <xf numFmtId="164" fontId="14" fillId="0" borderId="25" xfId="0" applyNumberFormat="1" applyFont="1" applyBorder="1" applyAlignment="1">
      <alignment horizontal="right" indent="1"/>
    </xf>
    <xf numFmtId="0" fontId="37" fillId="3" borderId="0" xfId="0" applyFont="1" applyFill="1" applyAlignment="1">
      <alignment horizontal="right"/>
    </xf>
    <xf numFmtId="0" fontId="37" fillId="3" borderId="0" xfId="0" applyFont="1" applyFill="1" applyAlignment="1">
      <alignment horizontal="center"/>
    </xf>
    <xf numFmtId="1" fontId="30" fillId="0" borderId="1" xfId="0" applyNumberFormat="1" applyFont="1" applyBorder="1" applyAlignment="1">
      <alignment horizontal="center"/>
    </xf>
    <xf numFmtId="164" fontId="30" fillId="0" borderId="1" xfId="0" applyNumberFormat="1" applyFont="1" applyBorder="1" applyAlignment="1">
      <alignment horizontal="center"/>
    </xf>
    <xf numFmtId="2" fontId="0" fillId="0" borderId="1" xfId="0" applyNumberFormat="1" applyBorder="1" applyAlignment="1">
      <alignment horizontal="center"/>
    </xf>
    <xf numFmtId="1" fontId="38" fillId="0" borderId="1" xfId="0" applyNumberFormat="1" applyFont="1" applyBorder="1" applyAlignment="1">
      <alignment horizontal="right" vertical="center" wrapText="1"/>
    </xf>
    <xf numFmtId="2" fontId="38" fillId="0" borderId="1" xfId="0" applyNumberFormat="1" applyFont="1" applyBorder="1" applyAlignment="1">
      <alignment horizontal="right" vertical="center" wrapTex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3" xfId="0" applyFont="1" applyBorder="1" applyAlignment="1">
      <alignment horizontal="right" vertical="center" wrapText="1" indent="1"/>
    </xf>
    <xf numFmtId="0" fontId="39" fillId="0" borderId="4" xfId="0" applyFont="1" applyBorder="1" applyAlignment="1">
      <alignment horizontal="right" vertical="center" wrapText="1" indent="1"/>
    </xf>
    <xf numFmtId="0" fontId="22" fillId="4" borderId="15" xfId="0" applyFont="1" applyFill="1" applyBorder="1" applyAlignment="1">
      <alignment horizontal="left" indent="1"/>
    </xf>
    <xf numFmtId="0" fontId="22" fillId="4" borderId="16" xfId="0" applyFont="1" applyFill="1" applyBorder="1" applyAlignment="1">
      <alignment horizontal="left" indent="1"/>
    </xf>
    <xf numFmtId="0" fontId="22" fillId="4" borderId="17" xfId="0" applyFont="1" applyFill="1" applyBorder="1" applyAlignment="1">
      <alignment horizontal="left" indent="1"/>
    </xf>
    <xf numFmtId="0" fontId="10" fillId="0" borderId="2" xfId="0" applyFont="1" applyBorder="1" applyAlignment="1">
      <alignment horizontal="left" vertical="center" wrapText="1" indent="1"/>
    </xf>
    <xf numFmtId="0" fontId="10" fillId="0" borderId="18"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3" xfId="0" applyFont="1" applyBorder="1" applyAlignment="1">
      <alignment horizontal="left" vertical="center" wrapText="1" indent="1"/>
    </xf>
    <xf numFmtId="0" fontId="10" fillId="0" borderId="0" xfId="0" applyFont="1" applyBorder="1" applyAlignment="1">
      <alignment horizontal="left" vertical="center" wrapText="1" indent="1"/>
    </xf>
    <xf numFmtId="0" fontId="10" fillId="0" borderId="7" xfId="0" applyFont="1" applyBorder="1" applyAlignment="1">
      <alignment horizontal="left" vertical="center" wrapText="1" indent="1"/>
    </xf>
    <xf numFmtId="0" fontId="42" fillId="0" borderId="3"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8" xfId="0" applyFont="1" applyBorder="1" applyAlignment="1">
      <alignment horizontal="center" vertical="center" wrapText="1"/>
    </xf>
    <xf numFmtId="0" fontId="6" fillId="0" borderId="3" xfId="0" applyFont="1" applyBorder="1" applyAlignment="1">
      <alignment horizontal="left" vertical="center" wrapText="1" indent="1"/>
    </xf>
    <xf numFmtId="0" fontId="36" fillId="6" borderId="0" xfId="0" applyFont="1" applyFill="1" applyAlignment="1">
      <alignment horizontal="center"/>
    </xf>
    <xf numFmtId="0" fontId="22" fillId="4" borderId="15" xfId="0" applyFont="1" applyFill="1" applyBorder="1" applyAlignment="1">
      <alignment horizontal="center"/>
    </xf>
    <xf numFmtId="0" fontId="22" fillId="4" borderId="16" xfId="0" applyFont="1" applyFill="1" applyBorder="1" applyAlignment="1">
      <alignment horizontal="center"/>
    </xf>
    <xf numFmtId="0" fontId="22" fillId="4" borderId="17" xfId="0" applyFont="1" applyFill="1" applyBorder="1" applyAlignment="1">
      <alignment horizontal="center"/>
    </xf>
    <xf numFmtId="0" fontId="10" fillId="10" borderId="1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2" xfId="0" applyFont="1" applyFill="1" applyBorder="1" applyAlignment="1">
      <alignment horizontal="center" wrapText="1"/>
    </xf>
    <xf numFmtId="0" fontId="10" fillId="4" borderId="9" xfId="0" applyFont="1" applyFill="1" applyBorder="1" applyAlignment="1">
      <alignment horizontal="center" wrapText="1"/>
    </xf>
    <xf numFmtId="0" fontId="10" fillId="4" borderId="1" xfId="0" applyFont="1" applyFill="1" applyBorder="1" applyAlignment="1">
      <alignment horizontal="center"/>
    </xf>
    <xf numFmtId="0" fontId="10" fillId="10" borderId="9" xfId="0" applyFont="1" applyFill="1" applyBorder="1" applyAlignment="1">
      <alignment horizontal="center" vertical="center" wrapText="1"/>
    </xf>
    <xf numFmtId="0" fontId="33" fillId="11" borderId="3" xfId="0" applyFont="1" applyFill="1" applyBorder="1" applyAlignment="1">
      <alignment horizontal="center"/>
    </xf>
    <xf numFmtId="0" fontId="33" fillId="11" borderId="0" xfId="0" applyFont="1" applyFill="1" applyBorder="1" applyAlignment="1">
      <alignment horizontal="center"/>
    </xf>
    <xf numFmtId="0" fontId="33" fillId="11" borderId="7" xfId="0" applyFont="1" applyFill="1" applyBorder="1" applyAlignment="1">
      <alignment horizontal="center"/>
    </xf>
    <xf numFmtId="0" fontId="39" fillId="12" borderId="19" xfId="0" applyFont="1" applyFill="1" applyBorder="1" applyAlignment="1">
      <alignment horizontal="center"/>
    </xf>
    <xf numFmtId="0" fontId="39" fillId="12" borderId="20" xfId="0" applyFont="1" applyFill="1" applyBorder="1" applyAlignment="1">
      <alignment horizontal="center"/>
    </xf>
    <xf numFmtId="0" fontId="39" fillId="12" borderId="21" xfId="0" applyFont="1" applyFill="1" applyBorder="1" applyAlignment="1">
      <alignment horizontal="center"/>
    </xf>
    <xf numFmtId="0" fontId="10" fillId="4" borderId="12"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4" borderId="9" xfId="0" applyFont="1" applyFill="1" applyBorder="1" applyAlignment="1">
      <alignment horizontal="center" vertical="top" wrapText="1"/>
    </xf>
    <xf numFmtId="0" fontId="20" fillId="6" borderId="16" xfId="0" applyFont="1" applyFill="1" applyBorder="1" applyAlignment="1">
      <alignment horizontal="right"/>
    </xf>
    <xf numFmtId="0" fontId="11" fillId="12" borderId="22" xfId="0" applyFont="1" applyFill="1" applyBorder="1" applyAlignment="1">
      <alignment horizontal="center"/>
    </xf>
    <xf numFmtId="0" fontId="11" fillId="12" borderId="23" xfId="0" applyFont="1" applyFill="1" applyBorder="1" applyAlignment="1">
      <alignment horizontal="center"/>
    </xf>
    <xf numFmtId="0" fontId="11" fillId="12" borderId="24" xfId="0" applyFont="1" applyFill="1" applyBorder="1" applyAlignment="1">
      <alignment horizontal="center"/>
    </xf>
    <xf numFmtId="0" fontId="18" fillId="0" borderId="15" xfId="0" applyFont="1" applyBorder="1" applyAlignment="1">
      <alignment horizontal="left" indent="1"/>
    </xf>
    <xf numFmtId="0" fontId="0" fillId="0" borderId="16" xfId="0" applyBorder="1" applyAlignment="1">
      <alignment horizontal="left" indent="1"/>
    </xf>
    <xf numFmtId="0" fontId="0" fillId="0" borderId="17" xfId="0" applyBorder="1" applyAlignment="1">
      <alignment horizontal="left" indent="1"/>
    </xf>
    <xf numFmtId="0" fontId="18" fillId="0" borderId="15" xfId="0" quotePrefix="1" applyFont="1" applyBorder="1" applyAlignment="1">
      <alignment horizontal="center"/>
    </xf>
    <xf numFmtId="0" fontId="18" fillId="0" borderId="17" xfId="0" applyFont="1" applyBorder="1" applyAlignment="1">
      <alignment horizontal="center"/>
    </xf>
    <xf numFmtId="0" fontId="0" fillId="9" borderId="15" xfId="0" applyFill="1" applyBorder="1" applyAlignment="1">
      <alignment horizontal="center"/>
    </xf>
    <xf numFmtId="0" fontId="0" fillId="9" borderId="16" xfId="0" applyFill="1" applyBorder="1" applyAlignment="1">
      <alignment horizontal="center"/>
    </xf>
    <xf numFmtId="0" fontId="0" fillId="9" borderId="17" xfId="0" applyFill="1" applyBorder="1" applyAlignment="1">
      <alignment horizontal="center"/>
    </xf>
    <xf numFmtId="0" fontId="0" fillId="0" borderId="4" xfId="0" applyBorder="1" applyAlignment="1">
      <alignment horizontal="left" indent="1"/>
    </xf>
    <xf numFmtId="0" fontId="0" fillId="0" borderId="5" xfId="0" applyBorder="1" applyAlignment="1">
      <alignment horizontal="left" indent="1"/>
    </xf>
    <xf numFmtId="0" fontId="0" fillId="0" borderId="8" xfId="0" applyBorder="1" applyAlignment="1">
      <alignment horizontal="left" indent="1"/>
    </xf>
    <xf numFmtId="0" fontId="15" fillId="4" borderId="12"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0" fillId="0" borderId="15" xfId="0" applyBorder="1" applyAlignment="1">
      <alignment horizontal="left" indent="1"/>
    </xf>
    <xf numFmtId="0" fontId="0" fillId="0" borderId="26" xfId="0" applyBorder="1" applyAlignment="1">
      <alignment horizontal="left" indent="1"/>
    </xf>
    <xf numFmtId="0" fontId="0" fillId="0" borderId="27" xfId="0" applyBorder="1" applyAlignment="1">
      <alignment horizontal="left" indent="1"/>
    </xf>
    <xf numFmtId="0" fontId="0" fillId="0" borderId="28" xfId="0" applyBorder="1" applyAlignment="1">
      <alignment horizontal="left" indent="1"/>
    </xf>
    <xf numFmtId="0" fontId="15" fillId="4" borderId="12" xfId="0" applyFont="1" applyFill="1" applyBorder="1" applyAlignment="1">
      <alignment horizontal="center" wrapText="1"/>
    </xf>
    <xf numFmtId="0" fontId="15" fillId="4" borderId="9" xfId="0" applyFont="1" applyFill="1" applyBorder="1" applyAlignment="1">
      <alignment horizontal="center" wrapText="1"/>
    </xf>
    <xf numFmtId="0" fontId="35" fillId="4" borderId="12" xfId="0" applyFont="1" applyFill="1" applyBorder="1" applyAlignment="1">
      <alignment horizontal="center" wrapText="1"/>
    </xf>
    <xf numFmtId="0" fontId="0" fillId="5" borderId="15" xfId="0" applyFill="1" applyBorder="1" applyAlignment="1">
      <alignment horizontal="center"/>
    </xf>
    <xf numFmtId="0" fontId="0" fillId="5" borderId="16" xfId="0" applyFill="1" applyBorder="1" applyAlignment="1">
      <alignment horizontal="center"/>
    </xf>
    <xf numFmtId="0" fontId="0" fillId="5" borderId="17" xfId="0" applyFill="1" applyBorder="1" applyAlignment="1">
      <alignment horizontal="center"/>
    </xf>
    <xf numFmtId="0" fontId="0" fillId="5" borderId="1" xfId="0" applyFill="1" applyBorder="1" applyAlignment="1">
      <alignment horizontal="center"/>
    </xf>
  </cellXfs>
  <cellStyles count="4">
    <cellStyle name="Comma" xfId="1" builtinId="3"/>
    <cellStyle name="Hyperlink" xfId="2" builtinId="8"/>
    <cellStyle name="Normal" xfId="0" builtinId="0"/>
    <cellStyle name="Percent" xfId="3" builtinId="5"/>
  </cellStyles>
  <dxfs count="2">
    <dxf>
      <font>
        <condense val="0"/>
        <extend val="0"/>
        <color indexed="55"/>
      </font>
    </dxf>
    <dxf>
      <font>
        <color theme="0"/>
      </font>
      <fill>
        <patternFill>
          <bgColor rgb="FF0070C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rot="0" spcFirstLastPara="1" vertOverflow="ellipsis" vert="horz" wrap="square" anchor="ctr" anchorCtr="1"/>
          <a:lstStyle/>
          <a:p>
            <a:pPr>
              <a:defRPr sz="1200" b="1" i="0" u="none" strike="noStrike" kern="1200" spc="0" baseline="0">
                <a:solidFill>
                  <a:schemeClr val="accent1">
                    <a:lumMod val="50000"/>
                  </a:schemeClr>
                </a:solidFill>
                <a:latin typeface="+mn-lt"/>
                <a:ea typeface="+mn-ea"/>
                <a:cs typeface="+mn-cs"/>
              </a:defRPr>
            </a:pPr>
            <a:r>
              <a:rPr lang="en-US" sz="1200" b="1">
                <a:solidFill>
                  <a:schemeClr val="accent1">
                    <a:lumMod val="50000"/>
                  </a:schemeClr>
                </a:solidFill>
              </a:rPr>
              <a:t>Hammer Energy and Actuation Time</a:t>
            </a:r>
          </a:p>
        </c:rich>
      </c:tx>
      <c:layout/>
      <c:spPr>
        <a:noFill/>
        <a:ln w="25400">
          <a:noFill/>
        </a:ln>
      </c:spPr>
    </c:title>
    <c:plotArea>
      <c:layout>
        <c:manualLayout>
          <c:layoutTarget val="inner"/>
          <c:xMode val="edge"/>
          <c:yMode val="edge"/>
          <c:x val="0.11459593366046636"/>
          <c:y val="0.13263888888888889"/>
          <c:w val="0.74414750465974389"/>
          <c:h val="0.69882728200641575"/>
        </c:manualLayout>
      </c:layout>
      <c:scatterChart>
        <c:scatterStyle val="lineMarker"/>
        <c:ser>
          <c:idx val="0"/>
          <c:order val="0"/>
          <c:tx>
            <c:strRef>
              <c:f>'Data Table'!$H$3</c:f>
              <c:strCache>
                <c:ptCount val="1"/>
                <c:pt idx="0">
                  <c:v>Joules</c:v>
                </c:pt>
              </c:strCache>
            </c:strRef>
          </c:tx>
          <c:spPr>
            <a:ln w="19050" cap="rnd">
              <a:solidFill>
                <a:schemeClr val="accent1"/>
              </a:solidFill>
              <a:round/>
            </a:ln>
            <a:effectLst/>
          </c:spPr>
          <c:marker>
            <c:symbol val="circle"/>
            <c:size val="5"/>
            <c:spPr>
              <a:noFill/>
              <a:ln w="9525">
                <a:noFill/>
              </a:ln>
            </c:spPr>
          </c:marker>
          <c:dPt>
            <c:idx val="25"/>
            <c:marker>
              <c:symbol val="circle"/>
              <c:size val="7"/>
              <c:spPr>
                <a:solidFill>
                  <a:schemeClr val="bg1"/>
                </a:solidFill>
                <a:ln w="9525">
                  <a:solidFill>
                    <a:schemeClr val="accent1"/>
                  </a:solidFill>
                </a:ln>
                <a:effectLst/>
              </c:spPr>
            </c:marker>
          </c:dPt>
          <c:xVal>
            <c:numRef>
              <c:f>'Data Table'!$G$5:$G$60</c:f>
              <c:numCache>
                <c:formatCode>0.00</c:formatCode>
                <c:ptCount val="56"/>
                <c:pt idx="0" formatCode="0.0">
                  <c:v>0</c:v>
                </c:pt>
                <c:pt idx="1">
                  <c:v>9.4443436845498621E-2</c:v>
                </c:pt>
                <c:pt idx="2">
                  <c:v>0.38361601923133326</c:v>
                </c:pt>
                <c:pt idx="3">
                  <c:v>0.87571747145443446</c:v>
                </c:pt>
                <c:pt idx="4">
                  <c:v>1.5794765923756833</c:v>
                </c:pt>
                <c:pt idx="5">
                  <c:v>2.5041977747416322</c:v>
                </c:pt>
                <c:pt idx="6">
                  <c:v>3.6598127524518249</c:v>
                </c:pt>
                <c:pt idx="7">
                  <c:v>5.0569382970484753</c:v>
                </c:pt>
                <c:pt idx="8">
                  <c:v>6.7069407035395816</c:v>
                </c:pt>
                <c:pt idx="9">
                  <c:v>8.6220080474171681</c:v>
                </c:pt>
                <c:pt idx="10">
                  <c:v>10.815231364493545</c:v>
                </c:pt>
                <c:pt idx="11">
                  <c:v>13.300696109335025</c:v>
                </c:pt>
                <c:pt idx="12">
                  <c:v>16.093585494669618</c:v>
                </c:pt>
                <c:pt idx="13">
                  <c:v>19.210297613371811</c:v>
                </c:pt>
                <c:pt idx="14">
                  <c:v>22.668578609469396</c:v>
                </c:pt>
                <c:pt idx="15">
                  <c:v>26.487674611716574</c:v>
                </c:pt>
                <c:pt idx="16">
                  <c:v>30.688505694106532</c:v>
                </c:pt>
                <c:pt idx="17">
                  <c:v>35.293865810138485</c:v>
                </c:pt>
                <c:pt idx="18">
                  <c:v>40.328653498180692</c:v>
                </c:pt>
                <c:pt idx="19">
                  <c:v>45.820139221937467</c:v>
                </c:pt>
                <c:pt idx="20">
                  <c:v>51.798276556661762</c:v>
                </c:pt>
                <c:pt idx="21">
                  <c:v>58.296066143836207</c:v>
                </c:pt>
                <c:pt idx="22">
                  <c:v>65.349983530072706</c:v>
                </c:pt>
                <c:pt idx="23">
                  <c:v>73.000484837498405</c:v>
                </c:pt>
                <c:pt idx="24">
                  <c:v>81.29260789995638</c:v>
                </c:pt>
                <c:pt idx="25">
                  <c:v>90</c:v>
                </c:pt>
                <c:pt idx="26">
                  <c:v>99.732549179679623</c:v>
                </c:pt>
                <c:pt idx="27">
                  <c:v>110.27728648879112</c:v>
                </c:pt>
                <c:pt idx="28">
                  <c:v>121.70643526957845</c:v>
                </c:pt>
                <c:pt idx="29">
                  <c:v>134.10230257132218</c:v>
                </c:pt>
                <c:pt idx="30">
                  <c:v>147.55924832833267</c:v>
                </c:pt>
                <c:pt idx="31">
                  <c:v>162.1861600045774</c:v>
                </c:pt>
                <c:pt idx="32">
                  <c:v>178.10959686793464</c:v>
                </c:pt>
                <c:pt idx="33">
                  <c:v>195.47783383660325</c:v>
                </c:pt>
                <c:pt idx="34">
                  <c:v>214.46613258150057</c:v>
                </c:pt>
                <c:pt idx="35">
                  <c:v>235.28371587892289</c:v>
                </c:pt>
                <c:pt idx="36">
                  <c:v>258.18315156864389</c:v>
                </c:pt>
                <c:pt idx="37">
                  <c:v>283.47321977003958</c:v>
                </c:pt>
                <c:pt idx="38">
                  <c:v>311.53694022207355</c:v>
                </c:pt>
                <c:pt idx="39">
                  <c:v>342.85746120954536</c:v>
                </c:pt>
                <c:pt idx="40">
                  <c:v>378.05632063186056</c:v>
                </c:pt>
                <c:pt idx="41">
                  <c:v>417.95193130730274</c:v>
                </c:pt>
                <c:pt idx="42">
                  <c:v>463.6526517462205</c:v>
                </c:pt>
                <c:pt idx="43">
                  <c:v>516.71231811081702</c:v>
                </c:pt>
                <c:pt idx="44">
                  <c:v>579.40645210259322</c:v>
                </c:pt>
                <c:pt idx="45">
                  <c:v>655.26250449188171</c:v>
                </c:pt>
                <c:pt idx="46">
                  <c:v>750.18910835725126</c:v>
                </c:pt>
                <c:pt idx="47">
                  <c:v>875.26049304432843</c:v>
                </c:pt>
                <c:pt idx="48">
                  <c:v>1055.3296384434016</c:v>
                </c:pt>
                <c:pt idx="49">
                  <c:v>1369.6405123015186</c:v>
                </c:pt>
                <c:pt idx="50">
                  <c:v>1688.8118635904311</c:v>
                </c:pt>
                <c:pt idx="51">
                  <c:v>2007.9832148793437</c:v>
                </c:pt>
                <c:pt idx="52">
                  <c:v>2327.1545661682562</c:v>
                </c:pt>
                <c:pt idx="53">
                  <c:v>2646.325917457169</c:v>
                </c:pt>
                <c:pt idx="54">
                  <c:v>2965.4972687460818</c:v>
                </c:pt>
                <c:pt idx="55">
                  <c:v>3284.6686200349945</c:v>
                </c:pt>
              </c:numCache>
            </c:numRef>
          </c:xVal>
          <c:yVal>
            <c:numRef>
              <c:f>'Data Table'!$H$5:$H$60</c:f>
              <c:numCache>
                <c:formatCode>0</c:formatCode>
                <c:ptCount val="56"/>
                <c:pt idx="0">
                  <c:v>0</c:v>
                </c:pt>
                <c:pt idx="1">
                  <c:v>2.7438686501385038E-2</c:v>
                </c:pt>
                <c:pt idx="2">
                  <c:v>0.10975474600554015</c:v>
                </c:pt>
                <c:pt idx="3">
                  <c:v>0.24694817851246534</c:v>
                </c:pt>
                <c:pt idx="4">
                  <c:v>0.43901898402216061</c:v>
                </c:pt>
                <c:pt idx="5">
                  <c:v>0.68596716253462597</c:v>
                </c:pt>
                <c:pt idx="6">
                  <c:v>0.98779271404986135</c:v>
                </c:pt>
                <c:pt idx="7">
                  <c:v>1.3444956385678672</c:v>
                </c:pt>
                <c:pt idx="8">
                  <c:v>1.7560759360886424</c:v>
                </c:pt>
                <c:pt idx="9">
                  <c:v>2.2225336066121879</c:v>
                </c:pt>
                <c:pt idx="10">
                  <c:v>2.7438686501385039</c:v>
                </c:pt>
                <c:pt idx="11">
                  <c:v>3.3200810666675902</c:v>
                </c:pt>
                <c:pt idx="12">
                  <c:v>3.9511708561994454</c:v>
                </c:pt>
                <c:pt idx="13">
                  <c:v>4.6371380187340723</c:v>
                </c:pt>
                <c:pt idx="14">
                  <c:v>5.377982554271469</c:v>
                </c:pt>
                <c:pt idx="15">
                  <c:v>6.1737044628116324</c:v>
                </c:pt>
                <c:pt idx="16">
                  <c:v>7.0243037443545697</c:v>
                </c:pt>
                <c:pt idx="17">
                  <c:v>7.92978039890028</c:v>
                </c:pt>
                <c:pt idx="18">
                  <c:v>8.8901344264487516</c:v>
                </c:pt>
                <c:pt idx="19">
                  <c:v>9.9053658270000007</c:v>
                </c:pt>
                <c:pt idx="20">
                  <c:v>10.975474600554016</c:v>
                </c:pt>
                <c:pt idx="21">
                  <c:v>12.1004607471108</c:v>
                </c:pt>
                <c:pt idx="22">
                  <c:v>13.280324266670361</c:v>
                </c:pt>
                <c:pt idx="23">
                  <c:v>14.515065159232686</c:v>
                </c:pt>
                <c:pt idx="24">
                  <c:v>15.804683424797782</c:v>
                </c:pt>
                <c:pt idx="25">
                  <c:v>17.149179063365647</c:v>
                </c:pt>
                <c:pt idx="26">
                  <c:v>18.548552074936289</c:v>
                </c:pt>
                <c:pt idx="27">
                  <c:v>20.002802459509699</c:v>
                </c:pt>
                <c:pt idx="28">
                  <c:v>21.511930217085876</c:v>
                </c:pt>
                <c:pt idx="29">
                  <c:v>23.075935347664814</c:v>
                </c:pt>
                <c:pt idx="30">
                  <c:v>24.69481785124653</c:v>
                </c:pt>
                <c:pt idx="31">
                  <c:v>26.368577727831028</c:v>
                </c:pt>
                <c:pt idx="32">
                  <c:v>28.097214977418279</c:v>
                </c:pt>
                <c:pt idx="33">
                  <c:v>29.880729600008308</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yVal>
        </c:ser>
        <c:axId val="97442816"/>
        <c:axId val="97449472"/>
      </c:scatterChart>
      <c:scatterChart>
        <c:scatterStyle val="lineMarker"/>
        <c:ser>
          <c:idx val="1"/>
          <c:order val="1"/>
          <c:tx>
            <c:strRef>
              <c:f>'Data Table'!$I$3</c:f>
              <c:strCache>
                <c:ptCount val="1"/>
                <c:pt idx="0">
                  <c:v>Seconds</c:v>
                </c:pt>
              </c:strCache>
            </c:strRef>
          </c:tx>
          <c:spPr>
            <a:ln w="19050" cap="rnd">
              <a:solidFill>
                <a:schemeClr val="accent2"/>
              </a:solidFill>
              <a:round/>
            </a:ln>
            <a:effectLst/>
          </c:spPr>
          <c:marker>
            <c:symbol val="circle"/>
            <c:size val="5"/>
            <c:spPr>
              <a:noFill/>
              <a:ln w="9525">
                <a:noFill/>
              </a:ln>
            </c:spPr>
          </c:marker>
          <c:dPt>
            <c:idx val="25"/>
            <c:marker>
              <c:symbol val="circle"/>
              <c:size val="7"/>
              <c:spPr>
                <a:solidFill>
                  <a:schemeClr val="bg1"/>
                </a:solidFill>
                <a:ln w="9525">
                  <a:solidFill>
                    <a:schemeClr val="accent2"/>
                  </a:solidFill>
                </a:ln>
                <a:effectLst/>
              </c:spPr>
            </c:marker>
          </c:dPt>
          <c:xVal>
            <c:numRef>
              <c:f>'Data Table'!$G$5:$G$60</c:f>
              <c:numCache>
                <c:formatCode>0.00</c:formatCode>
                <c:ptCount val="56"/>
                <c:pt idx="0" formatCode="0.0">
                  <c:v>0</c:v>
                </c:pt>
                <c:pt idx="1">
                  <c:v>9.4443436845498621E-2</c:v>
                </c:pt>
                <c:pt idx="2">
                  <c:v>0.38361601923133326</c:v>
                </c:pt>
                <c:pt idx="3">
                  <c:v>0.87571747145443446</c:v>
                </c:pt>
                <c:pt idx="4">
                  <c:v>1.5794765923756833</c:v>
                </c:pt>
                <c:pt idx="5">
                  <c:v>2.5041977747416322</c:v>
                </c:pt>
                <c:pt idx="6">
                  <c:v>3.6598127524518249</c:v>
                </c:pt>
                <c:pt idx="7">
                  <c:v>5.0569382970484753</c:v>
                </c:pt>
                <c:pt idx="8">
                  <c:v>6.7069407035395816</c:v>
                </c:pt>
                <c:pt idx="9">
                  <c:v>8.6220080474171681</c:v>
                </c:pt>
                <c:pt idx="10">
                  <c:v>10.815231364493545</c:v>
                </c:pt>
                <c:pt idx="11">
                  <c:v>13.300696109335025</c:v>
                </c:pt>
                <c:pt idx="12">
                  <c:v>16.093585494669618</c:v>
                </c:pt>
                <c:pt idx="13">
                  <c:v>19.210297613371811</c:v>
                </c:pt>
                <c:pt idx="14">
                  <c:v>22.668578609469396</c:v>
                </c:pt>
                <c:pt idx="15">
                  <c:v>26.487674611716574</c:v>
                </c:pt>
                <c:pt idx="16">
                  <c:v>30.688505694106532</c:v>
                </c:pt>
                <c:pt idx="17">
                  <c:v>35.293865810138485</c:v>
                </c:pt>
                <c:pt idx="18">
                  <c:v>40.328653498180692</c:v>
                </c:pt>
                <c:pt idx="19">
                  <c:v>45.820139221937467</c:v>
                </c:pt>
                <c:pt idx="20">
                  <c:v>51.798276556661762</c:v>
                </c:pt>
                <c:pt idx="21">
                  <c:v>58.296066143836207</c:v>
                </c:pt>
                <c:pt idx="22">
                  <c:v>65.349983530072706</c:v>
                </c:pt>
                <c:pt idx="23">
                  <c:v>73.000484837498405</c:v>
                </c:pt>
                <c:pt idx="24">
                  <c:v>81.29260789995638</c:v>
                </c:pt>
                <c:pt idx="25">
                  <c:v>90</c:v>
                </c:pt>
                <c:pt idx="26">
                  <c:v>99.732549179679623</c:v>
                </c:pt>
                <c:pt idx="27">
                  <c:v>110.27728648879112</c:v>
                </c:pt>
                <c:pt idx="28">
                  <c:v>121.70643526957845</c:v>
                </c:pt>
                <c:pt idx="29">
                  <c:v>134.10230257132218</c:v>
                </c:pt>
                <c:pt idx="30">
                  <c:v>147.55924832833267</c:v>
                </c:pt>
                <c:pt idx="31">
                  <c:v>162.1861600045774</c:v>
                </c:pt>
                <c:pt idx="32">
                  <c:v>178.10959686793464</c:v>
                </c:pt>
                <c:pt idx="33">
                  <c:v>195.47783383660325</c:v>
                </c:pt>
                <c:pt idx="34">
                  <c:v>214.46613258150057</c:v>
                </c:pt>
                <c:pt idx="35">
                  <c:v>235.28371587892289</c:v>
                </c:pt>
                <c:pt idx="36">
                  <c:v>258.18315156864389</c:v>
                </c:pt>
                <c:pt idx="37">
                  <c:v>283.47321977003958</c:v>
                </c:pt>
                <c:pt idx="38">
                  <c:v>311.53694022207355</c:v>
                </c:pt>
                <c:pt idx="39">
                  <c:v>342.85746120954536</c:v>
                </c:pt>
                <c:pt idx="40">
                  <c:v>378.05632063186056</c:v>
                </c:pt>
                <c:pt idx="41">
                  <c:v>417.95193130730274</c:v>
                </c:pt>
                <c:pt idx="42">
                  <c:v>463.6526517462205</c:v>
                </c:pt>
                <c:pt idx="43">
                  <c:v>516.71231811081702</c:v>
                </c:pt>
                <c:pt idx="44">
                  <c:v>579.40645210259322</c:v>
                </c:pt>
                <c:pt idx="45">
                  <c:v>655.26250449188171</c:v>
                </c:pt>
                <c:pt idx="46">
                  <c:v>750.18910835725126</c:v>
                </c:pt>
                <c:pt idx="47">
                  <c:v>875.26049304432843</c:v>
                </c:pt>
                <c:pt idx="48">
                  <c:v>1055.3296384434016</c:v>
                </c:pt>
                <c:pt idx="49">
                  <c:v>1369.6405123015186</c:v>
                </c:pt>
                <c:pt idx="50">
                  <c:v>1688.8118635904311</c:v>
                </c:pt>
                <c:pt idx="51">
                  <c:v>2007.9832148793437</c:v>
                </c:pt>
                <c:pt idx="52">
                  <c:v>2327.1545661682562</c:v>
                </c:pt>
                <c:pt idx="53">
                  <c:v>2646.325917457169</c:v>
                </c:pt>
                <c:pt idx="54">
                  <c:v>2965.4972687460818</c:v>
                </c:pt>
                <c:pt idx="55">
                  <c:v>3284.6686200349945</c:v>
                </c:pt>
              </c:numCache>
            </c:numRef>
          </c:xVal>
          <c:yVal>
            <c:numRef>
              <c:f>'Data Table'!$I$5:$I$60</c:f>
              <c:numCache>
                <c:formatCode>0.000</c:formatCode>
                <c:ptCount val="56"/>
                <c:pt idx="0">
                  <c:v>0</c:v>
                </c:pt>
                <c:pt idx="1">
                  <c:v>3.0991801382806109E-3</c:v>
                </c:pt>
                <c:pt idx="2">
                  <c:v>6.2622653802672876E-3</c:v>
                </c:pt>
                <c:pt idx="3">
                  <c:v>9.4919467592790054E-3</c:v>
                </c:pt>
                <c:pt idx="4">
                  <c:v>1.279108894963275E-2</c:v>
                </c:pt>
                <c:pt idx="5">
                  <c:v>1.6162745534732161E-2</c:v>
                </c:pt>
                <c:pt idx="6">
                  <c:v>1.9610175991082241E-2</c:v>
                </c:pt>
                <c:pt idx="7">
                  <c:v>2.3136864624978395E-2</c:v>
                </c:pt>
                <c:pt idx="8">
                  <c:v>2.6746541737624453E-2</c:v>
                </c:pt>
                <c:pt idx="9">
                  <c:v>3.0443207340964302E-2</c:v>
                </c:pt>
                <c:pt idx="10">
                  <c:v>3.4231157802236109E-2</c:v>
                </c:pt>
                <c:pt idx="11">
                  <c:v>3.8115015862272963E-2</c:v>
                </c:pt>
                <c:pt idx="12">
                  <c:v>4.2099764553521539E-2</c:v>
                </c:pt>
                <c:pt idx="13">
                  <c:v>4.6190785641973466E-2</c:v>
                </c:pt>
                <c:pt idx="14">
                  <c:v>5.039390333696829E-2</c:v>
                </c:pt>
                <c:pt idx="15">
                  <c:v>5.471543415959329E-2</c:v>
                </c:pt>
                <c:pt idx="16">
                  <c:v>5.9162244041225089E-2</c:v>
                </c:pt>
                <c:pt idx="17">
                  <c:v>6.3741813947783263E-2</c:v>
                </c:pt>
                <c:pt idx="18">
                  <c:v>6.8462315604472232E-2</c:v>
                </c:pt>
                <c:pt idx="19">
                  <c:v>7.3332699245950025E-2</c:v>
                </c:pt>
                <c:pt idx="20">
                  <c:v>7.836279575893712E-2</c:v>
                </c:pt>
                <c:pt idx="21">
                  <c:v>8.3563436146329786E-2</c:v>
                </c:pt>
                <c:pt idx="22">
                  <c:v>8.8946591961829385E-2</c:v>
                </c:pt>
                <c:pt idx="23">
                  <c:v>9.4525541293669274E-2</c:v>
                </c:pt>
                <c:pt idx="24">
                  <c:v>0.10031506608647792</c:v>
                </c:pt>
                <c:pt idx="25">
                  <c:v>0.10633168818090595</c:v>
                </c:pt>
                <c:pt idx="26">
                  <c:v>0.11259395356117324</c:v>
                </c:pt>
                <c:pt idx="27">
                  <c:v>0.11912277713053872</c:v>
                </c:pt>
                <c:pt idx="28">
                  <c:v>0.12594186417198822</c:v>
                </c:pt>
                <c:pt idx="29">
                  <c:v>0.13307822991853038</c:v>
                </c:pt>
                <c:pt idx="30">
                  <c:v>0.14056284598314206</c:v>
                </c:pt>
                <c:pt idx="31">
                  <c:v>0.14843145273442748</c:v>
                </c:pt>
                <c:pt idx="32">
                  <c:v>0.15672559151787424</c:v>
                </c:pt>
                <c:pt idx="33">
                  <c:v>0.16549393222213102</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yVal>
        </c:ser>
        <c:axId val="97451392"/>
        <c:axId val="88360064"/>
      </c:scatterChart>
      <c:valAx>
        <c:axId val="97442816"/>
        <c:scaling>
          <c:orientation val="minMax"/>
          <c:max val="180"/>
        </c:scaling>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Degrees</a:t>
                </a:r>
              </a:p>
            </c:rich>
          </c:tx>
          <c:layout/>
          <c:spPr>
            <a:noFill/>
            <a:ln w="25400">
              <a:noFill/>
            </a:ln>
          </c:spPr>
        </c:title>
        <c:numFmt formatCode="0" sourceLinked="0"/>
        <c:majorTickMark val="none"/>
        <c:minorTickMark val="cross"/>
        <c:tickLblPos val="nextTo"/>
        <c:spPr>
          <a:noFill/>
          <a:ln w="9525" cap="flat" cmpd="sng" algn="ctr">
            <a:solidFill>
              <a:schemeClr val="tx1">
                <a:lumMod val="25000"/>
                <a:lumOff val="75000"/>
                <a:alpha val="98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en-US"/>
          </a:p>
        </c:txPr>
        <c:crossAx val="97449472"/>
        <c:crosses val="autoZero"/>
        <c:crossBetween val="midCat"/>
        <c:majorUnit val="30"/>
        <c:minorUnit val="10"/>
      </c:valAx>
      <c:valAx>
        <c:axId val="97449472"/>
        <c:scaling>
          <c:orientation val="minMax"/>
        </c:scaling>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rgbClr val="0070C0"/>
                    </a:solidFill>
                    <a:latin typeface="+mn-lt"/>
                    <a:ea typeface="+mn-ea"/>
                    <a:cs typeface="+mn-cs"/>
                  </a:defRPr>
                </a:pPr>
                <a:r>
                  <a:rPr lang="en-US" sz="1100" b="1">
                    <a:solidFill>
                      <a:srgbClr val="0070C0"/>
                    </a:solidFill>
                  </a:rPr>
                  <a:t>Joules</a:t>
                </a:r>
              </a:p>
            </c:rich>
          </c:tx>
          <c:layout/>
          <c:spPr>
            <a:noFill/>
            <a:ln w="25400">
              <a:noFill/>
            </a:ln>
          </c:spPr>
        </c:title>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rgbClr val="0070C0"/>
                </a:solidFill>
                <a:latin typeface="+mn-lt"/>
                <a:ea typeface="+mn-ea"/>
                <a:cs typeface="+mn-cs"/>
              </a:defRPr>
            </a:pPr>
            <a:endParaRPr lang="en-US"/>
          </a:p>
        </c:txPr>
        <c:crossAx val="97442816"/>
        <c:crosses val="autoZero"/>
        <c:crossBetween val="midCat"/>
      </c:valAx>
      <c:valAx>
        <c:axId val="97451392"/>
        <c:scaling>
          <c:orientation val="minMax"/>
        </c:scaling>
        <c:delete val="1"/>
        <c:axPos val="b"/>
        <c:numFmt formatCode="0.0" sourceLinked="1"/>
        <c:tickLblPos val="none"/>
        <c:crossAx val="88360064"/>
        <c:crosses val="autoZero"/>
        <c:crossBetween val="midCat"/>
      </c:valAx>
      <c:valAx>
        <c:axId val="88360064"/>
        <c:scaling>
          <c:orientation val="minMax"/>
        </c:scaling>
        <c:axPos val="r"/>
        <c:title>
          <c:tx>
            <c:rich>
              <a:bodyPr rot="-5400000" spcFirstLastPara="1" vertOverflow="ellipsis" vert="horz" wrap="square" anchor="ctr" anchorCtr="1"/>
              <a:lstStyle/>
              <a:p>
                <a:pPr>
                  <a:defRPr sz="1100" b="1" i="0" u="none" strike="noStrike" kern="1200" baseline="0">
                    <a:solidFill>
                      <a:schemeClr val="accent2"/>
                    </a:solidFill>
                    <a:latin typeface="+mn-lt"/>
                    <a:ea typeface="+mn-ea"/>
                    <a:cs typeface="+mn-cs"/>
                  </a:defRPr>
                </a:pPr>
                <a:r>
                  <a:rPr lang="en-US" sz="1100" b="1">
                    <a:solidFill>
                      <a:schemeClr val="accent2"/>
                    </a:solidFill>
                  </a:rPr>
                  <a:t>Seconds</a:t>
                </a:r>
              </a:p>
            </c:rich>
          </c:tx>
          <c:layout/>
          <c:spPr>
            <a:noFill/>
            <a:ln w="25400">
              <a:noFill/>
            </a:ln>
          </c:spPr>
        </c:title>
        <c:numFmt formatCode="0.00" sourceLinked="0"/>
        <c:majorTickMark val="cross"/>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rgbClr val="C00000"/>
                </a:solidFill>
                <a:latin typeface="+mn-lt"/>
                <a:ea typeface="+mn-ea"/>
                <a:cs typeface="+mn-cs"/>
              </a:defRPr>
            </a:pPr>
            <a:endParaRPr lang="en-US"/>
          </a:p>
        </c:txPr>
        <c:crossAx val="97451392"/>
        <c:crosses val="max"/>
        <c:crossBetween val="midCat"/>
        <c:minorUnit val="1.0000000000000005E-2"/>
      </c:valAx>
      <c:spPr>
        <a:solidFill>
          <a:schemeClr val="bg1"/>
        </a:solidFill>
        <a:ln w="12700" cmpd="sng">
          <a:solidFill>
            <a:srgbClr val="000000"/>
          </a:solidFill>
        </a:ln>
        <a:effectLst/>
      </c:spPr>
    </c:plotArea>
    <c:legend>
      <c:legendPos val="r"/>
      <c:layout>
        <c:manualLayout>
          <c:xMode val="edge"/>
          <c:yMode val="edge"/>
          <c:x val="0.12128146453089246"/>
          <c:y val="0.14335688810657524"/>
          <c:w val="0.19221967963386727"/>
          <c:h val="0.16783245436867347"/>
        </c:manualLayout>
      </c:layout>
      <c:spPr>
        <a:solidFill>
          <a:schemeClr val="bg1"/>
        </a:solidFill>
        <a:ln>
          <a:solidFill>
            <a:srgbClr val="000000"/>
          </a:solidFill>
        </a:ln>
      </c:spPr>
    </c:legend>
    <c:plotVisOnly val="1"/>
    <c:dispBlanksAs val="gap"/>
  </c:chart>
  <c:spPr>
    <a:solidFill>
      <a:srgbClr val="CCFFCC"/>
    </a:solidFill>
    <a:ln w="3175">
      <a:solidFill>
        <a:srgbClr val="000000"/>
      </a:solidFill>
      <a:prstDash val="solid"/>
    </a:ln>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runamok.tech/robotica.html"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4</xdr:row>
      <xdr:rowOff>38100</xdr:rowOff>
    </xdr:from>
    <xdr:to>
      <xdr:col>9</xdr:col>
      <xdr:colOff>514350</xdr:colOff>
      <xdr:row>10</xdr:row>
      <xdr:rowOff>9525</xdr:rowOff>
    </xdr:to>
    <xdr:pic>
      <xdr:nvPicPr>
        <xdr:cNvPr id="88641" name="Picture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10275" y="542925"/>
          <a:ext cx="1009650" cy="923925"/>
        </a:xfrm>
        <a:prstGeom prst="rect">
          <a:avLst/>
        </a:prstGeom>
        <a:noFill/>
        <a:ln w="6350">
          <a:solidFill>
            <a:srgbClr val="000000"/>
          </a:solidFill>
          <a:miter lim="800000"/>
          <a:headEnd/>
          <a:tailEnd/>
        </a:ln>
      </xdr:spPr>
    </xdr:pic>
    <xdr:clientData/>
  </xdr:twoCellAnchor>
  <xdr:twoCellAnchor>
    <xdr:from>
      <xdr:col>1</xdr:col>
      <xdr:colOff>276225</xdr:colOff>
      <xdr:row>13</xdr:row>
      <xdr:rowOff>76200</xdr:rowOff>
    </xdr:from>
    <xdr:to>
      <xdr:col>1</xdr:col>
      <xdr:colOff>438150</xdr:colOff>
      <xdr:row>17</xdr:row>
      <xdr:rowOff>95250</xdr:rowOff>
    </xdr:to>
    <xdr:sp macro="" textlink="">
      <xdr:nvSpPr>
        <xdr:cNvPr id="88642" name="Rectangle 6"/>
        <xdr:cNvSpPr>
          <a:spLocks noChangeArrowheads="1"/>
        </xdr:cNvSpPr>
      </xdr:nvSpPr>
      <xdr:spPr bwMode="auto">
        <a:xfrm>
          <a:off x="581025" y="2019300"/>
          <a:ext cx="161925" cy="676275"/>
        </a:xfrm>
        <a:prstGeom prst="rect">
          <a:avLst/>
        </a:prstGeom>
        <a:solidFill>
          <a:srgbClr val="FFFFFF"/>
        </a:solidFill>
        <a:ln w="9525">
          <a:solidFill>
            <a:srgbClr val="000000"/>
          </a:solidFill>
          <a:miter lim="800000"/>
          <a:headEnd/>
          <a:tailEnd/>
        </a:ln>
      </xdr:spPr>
    </xdr:sp>
    <xdr:clientData/>
  </xdr:twoCellAnchor>
  <xdr:twoCellAnchor>
    <xdr:from>
      <xdr:col>1</xdr:col>
      <xdr:colOff>342900</xdr:colOff>
      <xdr:row>17</xdr:row>
      <xdr:rowOff>9525</xdr:rowOff>
    </xdr:from>
    <xdr:to>
      <xdr:col>1</xdr:col>
      <xdr:colOff>371475</xdr:colOff>
      <xdr:row>17</xdr:row>
      <xdr:rowOff>38100</xdr:rowOff>
    </xdr:to>
    <xdr:sp macro="" textlink="">
      <xdr:nvSpPr>
        <xdr:cNvPr id="88643" name="AutoShape 26"/>
        <xdr:cNvSpPr>
          <a:spLocks noChangeArrowheads="1"/>
        </xdr:cNvSpPr>
      </xdr:nvSpPr>
      <xdr:spPr bwMode="auto">
        <a:xfrm>
          <a:off x="647700" y="2609850"/>
          <a:ext cx="28575" cy="28575"/>
        </a:xfrm>
        <a:prstGeom prst="flowChartOr">
          <a:avLst/>
        </a:prstGeom>
        <a:solidFill>
          <a:srgbClr val="FFFFFF"/>
        </a:solidFill>
        <a:ln w="9525">
          <a:solidFill>
            <a:srgbClr val="000000"/>
          </a:solidFill>
          <a:round/>
          <a:headEnd/>
          <a:tailEnd/>
        </a:ln>
      </xdr:spPr>
    </xdr:sp>
    <xdr:clientData/>
  </xdr:twoCellAnchor>
  <xdr:twoCellAnchor>
    <xdr:from>
      <xdr:col>1</xdr:col>
      <xdr:colOff>295275</xdr:colOff>
      <xdr:row>24</xdr:row>
      <xdr:rowOff>19050</xdr:rowOff>
    </xdr:from>
    <xdr:to>
      <xdr:col>1</xdr:col>
      <xdr:colOff>438150</xdr:colOff>
      <xdr:row>27</xdr:row>
      <xdr:rowOff>85725</xdr:rowOff>
    </xdr:to>
    <xdr:sp macro="" textlink="">
      <xdr:nvSpPr>
        <xdr:cNvPr id="88644" name="Rectangle 6"/>
        <xdr:cNvSpPr>
          <a:spLocks noChangeArrowheads="1"/>
        </xdr:cNvSpPr>
      </xdr:nvSpPr>
      <xdr:spPr bwMode="auto">
        <a:xfrm>
          <a:off x="600075" y="3771900"/>
          <a:ext cx="142875" cy="552450"/>
        </a:xfrm>
        <a:prstGeom prst="rect">
          <a:avLst/>
        </a:prstGeom>
        <a:solidFill>
          <a:srgbClr val="FFFFFF"/>
        </a:solidFill>
        <a:ln w="9525">
          <a:solidFill>
            <a:srgbClr val="000000"/>
          </a:solidFill>
          <a:miter lim="800000"/>
          <a:headEnd/>
          <a:tailEnd/>
        </a:ln>
      </xdr:spPr>
    </xdr:sp>
    <xdr:clientData/>
  </xdr:twoCellAnchor>
  <xdr:twoCellAnchor>
    <xdr:from>
      <xdr:col>1</xdr:col>
      <xdr:colOff>152400</xdr:colOff>
      <xdr:row>23</xdr:row>
      <xdr:rowOff>57150</xdr:rowOff>
    </xdr:from>
    <xdr:to>
      <xdr:col>1</xdr:col>
      <xdr:colOff>542925</xdr:colOff>
      <xdr:row>24</xdr:row>
      <xdr:rowOff>114300</xdr:rowOff>
    </xdr:to>
    <xdr:grpSp>
      <xdr:nvGrpSpPr>
        <xdr:cNvPr id="88645" name="Group 22"/>
        <xdr:cNvGrpSpPr>
          <a:grpSpLocks/>
        </xdr:cNvGrpSpPr>
      </xdr:nvGrpSpPr>
      <xdr:grpSpPr bwMode="auto">
        <a:xfrm rot="5400000">
          <a:off x="542925" y="3562350"/>
          <a:ext cx="219075" cy="390525"/>
          <a:chOff x="58" y="140"/>
          <a:chExt cx="25" cy="43"/>
        </a:xfrm>
      </xdr:grpSpPr>
      <xdr:sp macro="" textlink="">
        <xdr:nvSpPr>
          <xdr:cNvPr id="88647" name="Oval 10"/>
          <xdr:cNvSpPr>
            <a:spLocks noChangeArrowheads="1"/>
          </xdr:cNvSpPr>
        </xdr:nvSpPr>
        <xdr:spPr bwMode="auto">
          <a:xfrm>
            <a:off x="58" y="170"/>
            <a:ext cx="25" cy="13"/>
          </a:xfrm>
          <a:prstGeom prst="ellipse">
            <a:avLst/>
          </a:prstGeom>
          <a:solidFill>
            <a:srgbClr val="FFFFFF"/>
          </a:solidFill>
          <a:ln w="9525">
            <a:solidFill>
              <a:srgbClr val="000000"/>
            </a:solidFill>
            <a:round/>
            <a:headEnd/>
            <a:tailEnd/>
          </a:ln>
        </xdr:spPr>
      </xdr:sp>
      <xdr:sp macro="" textlink="">
        <xdr:nvSpPr>
          <xdr:cNvPr id="88648" name="Rectangle 7"/>
          <xdr:cNvSpPr>
            <a:spLocks noChangeArrowheads="1"/>
          </xdr:cNvSpPr>
        </xdr:nvSpPr>
        <xdr:spPr bwMode="auto">
          <a:xfrm>
            <a:off x="58" y="145"/>
            <a:ext cx="25" cy="32"/>
          </a:xfrm>
          <a:prstGeom prst="rect">
            <a:avLst/>
          </a:prstGeom>
          <a:solidFill>
            <a:srgbClr val="FFFFFF"/>
          </a:solidFill>
          <a:ln w="9525">
            <a:solidFill>
              <a:srgbClr val="000000"/>
            </a:solidFill>
            <a:miter lim="800000"/>
            <a:headEnd/>
            <a:tailEnd/>
          </a:ln>
        </xdr:spPr>
      </xdr:sp>
      <xdr:sp macro="" textlink="">
        <xdr:nvSpPr>
          <xdr:cNvPr id="88649" name="Oval 9"/>
          <xdr:cNvSpPr>
            <a:spLocks noChangeArrowheads="1"/>
          </xdr:cNvSpPr>
        </xdr:nvSpPr>
        <xdr:spPr bwMode="auto">
          <a:xfrm>
            <a:off x="58" y="140"/>
            <a:ext cx="25" cy="10"/>
          </a:xfrm>
          <a:prstGeom prst="ellipse">
            <a:avLst/>
          </a:prstGeom>
          <a:solidFill>
            <a:srgbClr val="C0C0C0"/>
          </a:solidFill>
          <a:ln w="9525">
            <a:solidFill>
              <a:srgbClr val="000000"/>
            </a:solidFill>
            <a:round/>
            <a:headEnd/>
            <a:tailEnd/>
          </a:ln>
        </xdr:spPr>
      </xdr:sp>
      <xdr:sp macro="" textlink="">
        <xdr:nvSpPr>
          <xdr:cNvPr id="88650" name="Line 11"/>
          <xdr:cNvSpPr>
            <a:spLocks noChangeShapeType="1"/>
          </xdr:cNvSpPr>
        </xdr:nvSpPr>
        <xdr:spPr bwMode="auto">
          <a:xfrm>
            <a:off x="59" y="177"/>
            <a:ext cx="23" cy="0"/>
          </a:xfrm>
          <a:prstGeom prst="line">
            <a:avLst/>
          </a:prstGeom>
          <a:noFill/>
          <a:ln w="9525">
            <a:solidFill>
              <a:srgbClr val="FFFFFF"/>
            </a:solidFill>
            <a:round/>
            <a:headEnd/>
            <a:tailEnd/>
          </a:ln>
        </xdr:spPr>
      </xdr:sp>
    </xdr:grpSp>
    <xdr:clientData/>
  </xdr:twoCellAnchor>
  <xdr:twoCellAnchor>
    <xdr:from>
      <xdr:col>5</xdr:col>
      <xdr:colOff>161925</xdr:colOff>
      <xdr:row>11</xdr:row>
      <xdr:rowOff>66675</xdr:rowOff>
    </xdr:from>
    <xdr:to>
      <xdr:col>12</xdr:col>
      <xdr:colOff>0</xdr:colOff>
      <xdr:row>28</xdr:row>
      <xdr:rowOff>9525</xdr:rowOff>
    </xdr:to>
    <xdr:graphicFrame macro="">
      <xdr:nvGraphicFramePr>
        <xdr:cNvPr id="8864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runamok.tech.robotica.html/" TargetMode="External"/><Relationship Id="rId1" Type="http://schemas.openxmlformats.org/officeDocument/2006/relationships/hyperlink" Target="http://members.toast.net/joerger/robotica.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W60"/>
  <sheetViews>
    <sheetView showRowColHeaders="0" tabSelected="1" workbookViewId="0">
      <selection activeCell="C2" sqref="C2:H2"/>
    </sheetView>
  </sheetViews>
  <sheetFormatPr defaultRowHeight="12.75"/>
  <cols>
    <col min="3" max="3" width="12.85546875" customWidth="1"/>
  </cols>
  <sheetData>
    <row r="1" spans="1:23">
      <c r="A1" s="7"/>
      <c r="B1" s="7"/>
      <c r="C1" s="7"/>
      <c r="D1" s="7"/>
      <c r="E1" s="7"/>
      <c r="F1" s="7"/>
      <c r="G1" s="7"/>
      <c r="H1" s="7"/>
      <c r="I1" s="7"/>
      <c r="J1" s="7"/>
      <c r="K1" s="7"/>
      <c r="L1" s="7"/>
      <c r="M1" s="7"/>
      <c r="N1" s="7"/>
      <c r="O1" s="7"/>
      <c r="P1" s="7"/>
      <c r="Q1" s="7"/>
      <c r="R1" s="7"/>
      <c r="S1" s="7"/>
      <c r="T1" s="7"/>
      <c r="U1" s="7"/>
      <c r="V1" s="7"/>
      <c r="W1" s="7"/>
    </row>
    <row r="2" spans="1:23" ht="15">
      <c r="A2" s="7"/>
      <c r="B2" s="7"/>
      <c r="C2" s="111" t="s">
        <v>58</v>
      </c>
      <c r="D2" s="112"/>
      <c r="E2" s="112"/>
      <c r="F2" s="112"/>
      <c r="G2" s="112"/>
      <c r="H2" s="113"/>
      <c r="I2" s="7"/>
      <c r="J2" s="7"/>
      <c r="K2" s="7"/>
      <c r="L2" s="101" t="s">
        <v>70</v>
      </c>
      <c r="M2" s="100"/>
      <c r="N2" s="7"/>
      <c r="O2" s="7"/>
      <c r="P2" s="7"/>
      <c r="Q2" s="7"/>
      <c r="R2" s="7"/>
      <c r="S2" s="7"/>
      <c r="T2" s="7"/>
      <c r="U2" s="7"/>
      <c r="V2" s="7"/>
      <c r="W2" s="7"/>
    </row>
    <row r="3" spans="1:23" ht="12" customHeight="1">
      <c r="A3" s="7"/>
      <c r="B3" s="7"/>
      <c r="C3" s="114" t="s">
        <v>59</v>
      </c>
      <c r="D3" s="115"/>
      <c r="E3" s="115"/>
      <c r="F3" s="115"/>
      <c r="G3" s="115"/>
      <c r="H3" s="115"/>
      <c r="I3" s="115"/>
      <c r="J3" s="115"/>
      <c r="K3" s="115"/>
      <c r="L3" s="115"/>
      <c r="M3" s="116"/>
      <c r="N3" s="7"/>
      <c r="O3" s="7"/>
      <c r="P3" s="7"/>
      <c r="Q3" s="7"/>
      <c r="R3" s="7"/>
      <c r="S3" s="7"/>
      <c r="T3" s="7"/>
      <c r="U3" s="7"/>
      <c r="V3" s="7"/>
      <c r="W3" s="7"/>
    </row>
    <row r="4" spans="1:23" ht="12" customHeight="1">
      <c r="A4" s="7"/>
      <c r="B4" s="7"/>
      <c r="C4" s="117"/>
      <c r="D4" s="118"/>
      <c r="E4" s="118"/>
      <c r="F4" s="118"/>
      <c r="G4" s="118"/>
      <c r="H4" s="118"/>
      <c r="I4" s="118"/>
      <c r="J4" s="118"/>
      <c r="K4" s="118"/>
      <c r="L4" s="118"/>
      <c r="M4" s="119"/>
      <c r="N4" s="7"/>
      <c r="O4" s="7"/>
      <c r="P4" s="7"/>
      <c r="Q4" s="7"/>
      <c r="R4" s="7"/>
      <c r="S4" s="7"/>
      <c r="T4" s="7"/>
      <c r="U4" s="7"/>
      <c r="V4" s="7"/>
      <c r="W4" s="7"/>
    </row>
    <row r="5" spans="1:23" ht="12" customHeight="1">
      <c r="A5" s="7"/>
      <c r="B5" s="7"/>
      <c r="C5" s="117"/>
      <c r="D5" s="118"/>
      <c r="E5" s="118"/>
      <c r="F5" s="118"/>
      <c r="G5" s="118"/>
      <c r="H5" s="118"/>
      <c r="I5" s="118"/>
      <c r="J5" s="118"/>
      <c r="K5" s="118"/>
      <c r="L5" s="118"/>
      <c r="M5" s="119"/>
      <c r="N5" s="7"/>
      <c r="O5" s="7"/>
      <c r="P5" s="7"/>
      <c r="Q5" s="7"/>
      <c r="R5" s="7"/>
      <c r="S5" s="7"/>
      <c r="T5" s="7"/>
      <c r="U5" s="7"/>
      <c r="V5" s="7"/>
      <c r="W5" s="7"/>
    </row>
    <row r="6" spans="1:23" ht="12" customHeight="1">
      <c r="A6" s="7"/>
      <c r="B6" s="7"/>
      <c r="C6" s="117"/>
      <c r="D6" s="118"/>
      <c r="E6" s="118"/>
      <c r="F6" s="118"/>
      <c r="G6" s="118"/>
      <c r="H6" s="118"/>
      <c r="I6" s="118"/>
      <c r="J6" s="118"/>
      <c r="K6" s="118"/>
      <c r="L6" s="118"/>
      <c r="M6" s="119"/>
      <c r="N6" s="7"/>
      <c r="O6" s="7"/>
      <c r="P6" s="7"/>
      <c r="Q6" s="7"/>
      <c r="R6" s="7"/>
      <c r="S6" s="7"/>
      <c r="T6" s="7"/>
      <c r="U6" s="7"/>
      <c r="V6" s="7"/>
      <c r="W6" s="7"/>
    </row>
    <row r="7" spans="1:23" ht="12" customHeight="1">
      <c r="A7" s="7"/>
      <c r="B7" s="7"/>
      <c r="C7" s="117"/>
      <c r="D7" s="118"/>
      <c r="E7" s="118"/>
      <c r="F7" s="118"/>
      <c r="G7" s="118"/>
      <c r="H7" s="118"/>
      <c r="I7" s="118"/>
      <c r="J7" s="118"/>
      <c r="K7" s="118"/>
      <c r="L7" s="118"/>
      <c r="M7" s="119"/>
      <c r="N7" s="7"/>
      <c r="O7" s="7"/>
      <c r="P7" s="7"/>
      <c r="Q7" s="7"/>
      <c r="R7" s="7"/>
      <c r="S7" s="7"/>
      <c r="T7" s="7"/>
      <c r="U7" s="7"/>
      <c r="V7" s="7"/>
      <c r="W7" s="7"/>
    </row>
    <row r="8" spans="1:23" ht="12.75" customHeight="1">
      <c r="A8" s="7"/>
      <c r="B8" s="7"/>
      <c r="C8" s="117" t="s">
        <v>57</v>
      </c>
      <c r="D8" s="118"/>
      <c r="E8" s="118"/>
      <c r="F8" s="118"/>
      <c r="G8" s="118"/>
      <c r="H8" s="118"/>
      <c r="I8" s="118"/>
      <c r="J8" s="118"/>
      <c r="K8" s="118"/>
      <c r="L8" s="118"/>
      <c r="M8" s="119"/>
      <c r="N8" s="7"/>
      <c r="O8" s="7"/>
      <c r="P8" s="7"/>
      <c r="Q8" s="7"/>
      <c r="R8" s="7"/>
      <c r="S8" s="7"/>
      <c r="T8" s="7"/>
      <c r="U8" s="7"/>
      <c r="V8" s="7"/>
      <c r="W8" s="7"/>
    </row>
    <row r="9" spans="1:23">
      <c r="A9" s="7"/>
      <c r="B9" s="7"/>
      <c r="C9" s="117"/>
      <c r="D9" s="118"/>
      <c r="E9" s="118"/>
      <c r="F9" s="118"/>
      <c r="G9" s="118"/>
      <c r="H9" s="118"/>
      <c r="I9" s="118"/>
      <c r="J9" s="118"/>
      <c r="K9" s="118"/>
      <c r="L9" s="118"/>
      <c r="M9" s="119"/>
      <c r="N9" s="7"/>
      <c r="O9" s="7"/>
      <c r="P9" s="7"/>
      <c r="Q9" s="7"/>
      <c r="R9" s="7"/>
      <c r="S9" s="7"/>
      <c r="T9" s="7"/>
      <c r="U9" s="7"/>
      <c r="V9" s="7"/>
      <c r="W9" s="7"/>
    </row>
    <row r="10" spans="1:23">
      <c r="A10" s="7"/>
      <c r="B10" s="7"/>
      <c r="C10" s="117"/>
      <c r="D10" s="118"/>
      <c r="E10" s="118"/>
      <c r="F10" s="118"/>
      <c r="G10" s="118"/>
      <c r="H10" s="118"/>
      <c r="I10" s="118"/>
      <c r="J10" s="118"/>
      <c r="K10" s="118"/>
      <c r="L10" s="118"/>
      <c r="M10" s="119"/>
      <c r="N10" s="7"/>
      <c r="O10" s="7"/>
      <c r="P10" s="7"/>
      <c r="Q10" s="7"/>
      <c r="R10" s="7"/>
      <c r="S10" s="7"/>
      <c r="T10" s="7"/>
      <c r="U10" s="7"/>
      <c r="V10" s="7"/>
      <c r="W10" s="7"/>
    </row>
    <row r="11" spans="1:23" ht="12" customHeight="1">
      <c r="A11" s="7"/>
      <c r="B11" s="7"/>
      <c r="C11" s="117"/>
      <c r="D11" s="118"/>
      <c r="E11" s="118"/>
      <c r="F11" s="118"/>
      <c r="G11" s="118"/>
      <c r="H11" s="118"/>
      <c r="I11" s="118"/>
      <c r="J11" s="118"/>
      <c r="K11" s="118"/>
      <c r="L11" s="118"/>
      <c r="M11" s="119"/>
      <c r="N11" s="7"/>
      <c r="O11" s="7"/>
      <c r="P11" s="7"/>
      <c r="Q11" s="7"/>
      <c r="R11" s="7"/>
      <c r="S11" s="7"/>
      <c r="T11" s="7"/>
      <c r="U11" s="7"/>
      <c r="V11" s="7"/>
      <c r="W11" s="7"/>
    </row>
    <row r="12" spans="1:23" ht="12" customHeight="1">
      <c r="A12" s="7"/>
      <c r="B12" s="7"/>
      <c r="C12" s="117" t="s">
        <v>80</v>
      </c>
      <c r="D12" s="118"/>
      <c r="E12" s="118"/>
      <c r="F12" s="118"/>
      <c r="G12" s="118"/>
      <c r="H12" s="118"/>
      <c r="I12" s="118"/>
      <c r="J12" s="118"/>
      <c r="K12" s="118"/>
      <c r="L12" s="118"/>
      <c r="M12" s="119"/>
      <c r="N12" s="7"/>
      <c r="O12" s="7"/>
      <c r="P12" s="7"/>
      <c r="Q12" s="7"/>
      <c r="R12" s="7"/>
      <c r="S12" s="7"/>
      <c r="T12" s="7"/>
      <c r="U12" s="7"/>
      <c r="V12" s="7"/>
      <c r="W12" s="7"/>
    </row>
    <row r="13" spans="1:23" ht="12" customHeight="1">
      <c r="A13" s="7"/>
      <c r="B13" s="7"/>
      <c r="C13" s="117"/>
      <c r="D13" s="118"/>
      <c r="E13" s="118"/>
      <c r="F13" s="118"/>
      <c r="G13" s="118"/>
      <c r="H13" s="118"/>
      <c r="I13" s="118"/>
      <c r="J13" s="118"/>
      <c r="K13" s="118"/>
      <c r="L13" s="118"/>
      <c r="M13" s="119"/>
      <c r="N13" s="7"/>
      <c r="O13" s="7"/>
      <c r="P13" s="7"/>
      <c r="Q13" s="7"/>
      <c r="R13" s="7"/>
      <c r="S13" s="7"/>
      <c r="T13" s="7"/>
      <c r="U13" s="7"/>
      <c r="V13" s="7"/>
      <c r="W13" s="7"/>
    </row>
    <row r="14" spans="1:23" ht="12" customHeight="1">
      <c r="A14" s="7"/>
      <c r="B14" s="7"/>
      <c r="C14" s="117"/>
      <c r="D14" s="118"/>
      <c r="E14" s="118"/>
      <c r="F14" s="118"/>
      <c r="G14" s="118"/>
      <c r="H14" s="118"/>
      <c r="I14" s="118"/>
      <c r="J14" s="118"/>
      <c r="K14" s="118"/>
      <c r="L14" s="118"/>
      <c r="M14" s="119"/>
      <c r="N14" s="7"/>
      <c r="O14" s="7"/>
      <c r="P14" s="7"/>
      <c r="Q14" s="7"/>
      <c r="R14" s="7"/>
      <c r="S14" s="7"/>
      <c r="T14" s="7"/>
      <c r="U14" s="7"/>
      <c r="V14" s="7"/>
      <c r="W14" s="7"/>
    </row>
    <row r="15" spans="1:23">
      <c r="A15" s="7"/>
      <c r="B15" s="7"/>
      <c r="C15" s="117"/>
      <c r="D15" s="118"/>
      <c r="E15" s="118"/>
      <c r="F15" s="118"/>
      <c r="G15" s="118"/>
      <c r="H15" s="118"/>
      <c r="I15" s="118"/>
      <c r="J15" s="118"/>
      <c r="K15" s="118"/>
      <c r="L15" s="118"/>
      <c r="M15" s="119"/>
      <c r="N15" s="7"/>
      <c r="O15" s="7"/>
      <c r="P15" s="7"/>
      <c r="Q15" s="7"/>
      <c r="R15" s="7"/>
      <c r="S15" s="7"/>
      <c r="T15" s="7"/>
      <c r="U15" s="7"/>
      <c r="V15" s="7"/>
      <c r="W15" s="7"/>
    </row>
    <row r="16" spans="1:23">
      <c r="A16" s="7"/>
      <c r="B16" s="7"/>
      <c r="C16" s="117"/>
      <c r="D16" s="118"/>
      <c r="E16" s="118"/>
      <c r="F16" s="118"/>
      <c r="G16" s="118"/>
      <c r="H16" s="118"/>
      <c r="I16" s="118"/>
      <c r="J16" s="118"/>
      <c r="K16" s="118"/>
      <c r="L16" s="118"/>
      <c r="M16" s="119"/>
      <c r="N16" s="7"/>
      <c r="O16" s="7"/>
      <c r="P16" s="7"/>
      <c r="Q16" s="7"/>
      <c r="R16" s="7"/>
      <c r="S16" s="7"/>
      <c r="T16" s="7"/>
      <c r="U16" s="7"/>
      <c r="V16" s="7"/>
      <c r="W16" s="7"/>
    </row>
    <row r="17" spans="1:23" ht="16.899999999999999" customHeight="1">
      <c r="A17" s="7"/>
      <c r="B17" s="7"/>
      <c r="C17" s="126" t="s">
        <v>61</v>
      </c>
      <c r="D17" s="118"/>
      <c r="E17" s="118"/>
      <c r="F17" s="118"/>
      <c r="G17" s="118"/>
      <c r="H17" s="118"/>
      <c r="I17" s="118"/>
      <c r="J17" s="118"/>
      <c r="K17" s="118"/>
      <c r="L17" s="118"/>
      <c r="M17" s="119"/>
      <c r="N17" s="7"/>
      <c r="O17" s="7"/>
      <c r="P17" s="7"/>
      <c r="Q17" s="7"/>
      <c r="R17" s="7"/>
      <c r="S17" s="7"/>
      <c r="T17" s="7"/>
      <c r="U17" s="7"/>
      <c r="V17" s="7"/>
      <c r="W17" s="7"/>
    </row>
    <row r="18" spans="1:23" ht="17.45" customHeight="1">
      <c r="A18" s="7"/>
      <c r="B18" s="7"/>
      <c r="C18" s="117"/>
      <c r="D18" s="118"/>
      <c r="E18" s="118"/>
      <c r="F18" s="118"/>
      <c r="G18" s="118"/>
      <c r="H18" s="118"/>
      <c r="I18" s="118"/>
      <c r="J18" s="118"/>
      <c r="K18" s="118"/>
      <c r="L18" s="118"/>
      <c r="M18" s="119"/>
      <c r="N18" s="7"/>
      <c r="O18" s="7"/>
      <c r="P18" s="7"/>
      <c r="Q18" s="7"/>
      <c r="R18" s="7"/>
      <c r="S18" s="7"/>
      <c r="T18" s="7"/>
      <c r="U18" s="7"/>
      <c r="V18" s="7"/>
      <c r="W18" s="7"/>
    </row>
    <row r="19" spans="1:23">
      <c r="A19" s="7"/>
      <c r="B19" s="7"/>
      <c r="C19" s="126" t="s">
        <v>60</v>
      </c>
      <c r="D19" s="118"/>
      <c r="E19" s="118"/>
      <c r="F19" s="118"/>
      <c r="G19" s="118"/>
      <c r="H19" s="118"/>
      <c r="I19" s="118"/>
      <c r="J19" s="118"/>
      <c r="K19" s="118"/>
      <c r="L19" s="118"/>
      <c r="M19" s="119"/>
      <c r="N19" s="7"/>
      <c r="O19" s="7"/>
      <c r="P19" s="7"/>
      <c r="Q19" s="7"/>
      <c r="R19" s="7"/>
      <c r="S19" s="7"/>
      <c r="T19" s="7"/>
      <c r="U19" s="7"/>
      <c r="V19" s="7"/>
      <c r="W19" s="7"/>
    </row>
    <row r="20" spans="1:23">
      <c r="A20" s="7"/>
      <c r="B20" s="7"/>
      <c r="C20" s="117"/>
      <c r="D20" s="118"/>
      <c r="E20" s="118"/>
      <c r="F20" s="118"/>
      <c r="G20" s="118"/>
      <c r="H20" s="118"/>
      <c r="I20" s="118"/>
      <c r="J20" s="118"/>
      <c r="K20" s="118"/>
      <c r="L20" s="118"/>
      <c r="M20" s="119"/>
      <c r="N20" s="7"/>
      <c r="O20" s="7"/>
      <c r="P20" s="7"/>
      <c r="Q20" s="7"/>
      <c r="R20" s="7"/>
      <c r="S20" s="7"/>
      <c r="T20" s="7"/>
      <c r="U20" s="7"/>
      <c r="V20" s="7"/>
      <c r="W20" s="7"/>
    </row>
    <row r="21" spans="1:23" ht="12.75" customHeight="1">
      <c r="A21" s="7"/>
      <c r="B21" s="7"/>
      <c r="C21" s="117"/>
      <c r="D21" s="118"/>
      <c r="E21" s="118"/>
      <c r="F21" s="118"/>
      <c r="G21" s="118"/>
      <c r="H21" s="118"/>
      <c r="I21" s="118"/>
      <c r="J21" s="118"/>
      <c r="K21" s="118"/>
      <c r="L21" s="118"/>
      <c r="M21" s="119"/>
      <c r="N21" s="7"/>
      <c r="O21" s="7"/>
      <c r="P21" s="7"/>
      <c r="Q21" s="7"/>
      <c r="R21" s="7"/>
      <c r="S21" s="7"/>
      <c r="T21" s="7"/>
      <c r="U21" s="7"/>
      <c r="V21" s="7"/>
      <c r="W21" s="7"/>
    </row>
    <row r="22" spans="1:23" ht="13.15" customHeight="1">
      <c r="A22" s="7"/>
      <c r="B22" s="7"/>
      <c r="C22" s="117"/>
      <c r="D22" s="118"/>
      <c r="E22" s="118"/>
      <c r="F22" s="118"/>
      <c r="G22" s="118"/>
      <c r="H22" s="118"/>
      <c r="I22" s="118"/>
      <c r="J22" s="118"/>
      <c r="K22" s="118"/>
      <c r="L22" s="118"/>
      <c r="M22" s="119"/>
      <c r="N22" s="7"/>
      <c r="O22" s="7"/>
      <c r="P22" s="7"/>
      <c r="Q22" s="7"/>
      <c r="R22" s="7"/>
      <c r="S22" s="7"/>
      <c r="T22" s="7"/>
      <c r="U22" s="7"/>
      <c r="V22" s="7"/>
      <c r="W22" s="7"/>
    </row>
    <row r="23" spans="1:23">
      <c r="A23" s="7"/>
      <c r="B23" s="7"/>
      <c r="C23" s="120" t="s">
        <v>43</v>
      </c>
      <c r="D23" s="121"/>
      <c r="E23" s="121"/>
      <c r="F23" s="121"/>
      <c r="G23" s="121"/>
      <c r="H23" s="121"/>
      <c r="I23" s="121"/>
      <c r="J23" s="121"/>
      <c r="K23" s="121"/>
      <c r="L23" s="121"/>
      <c r="M23" s="122"/>
      <c r="N23" s="7"/>
      <c r="O23" s="7"/>
      <c r="P23" s="7"/>
      <c r="Q23" s="7"/>
      <c r="R23" s="7"/>
      <c r="S23" s="7"/>
      <c r="T23" s="7"/>
      <c r="U23" s="7"/>
      <c r="V23" s="7"/>
      <c r="W23" s="7"/>
    </row>
    <row r="24" spans="1:23">
      <c r="A24" s="7"/>
      <c r="B24" s="7"/>
      <c r="C24" s="120"/>
      <c r="D24" s="121"/>
      <c r="E24" s="121"/>
      <c r="F24" s="121"/>
      <c r="G24" s="121"/>
      <c r="H24" s="121"/>
      <c r="I24" s="121"/>
      <c r="J24" s="121"/>
      <c r="K24" s="121"/>
      <c r="L24" s="121"/>
      <c r="M24" s="122"/>
      <c r="N24" s="7"/>
      <c r="O24" s="7"/>
      <c r="P24" s="7"/>
      <c r="Q24" s="7"/>
      <c r="R24" s="7"/>
      <c r="S24" s="7"/>
      <c r="T24" s="7"/>
      <c r="U24" s="7"/>
      <c r="V24" s="7"/>
      <c r="W24" s="7"/>
    </row>
    <row r="25" spans="1:23">
      <c r="A25" s="7"/>
      <c r="B25" s="7"/>
      <c r="C25" s="123"/>
      <c r="D25" s="124"/>
      <c r="E25" s="124"/>
      <c r="F25" s="124"/>
      <c r="G25" s="124"/>
      <c r="H25" s="124"/>
      <c r="I25" s="124"/>
      <c r="J25" s="124"/>
      <c r="K25" s="124"/>
      <c r="L25" s="124"/>
      <c r="M25" s="125"/>
      <c r="N25" s="7"/>
      <c r="O25" s="7"/>
      <c r="P25" s="7"/>
      <c r="Q25" s="7"/>
      <c r="R25" s="7"/>
      <c r="S25" s="7"/>
      <c r="T25" s="7"/>
      <c r="U25" s="7"/>
      <c r="V25" s="7"/>
      <c r="W25" s="7"/>
    </row>
    <row r="26" spans="1:23">
      <c r="A26" s="7"/>
      <c r="B26" s="7"/>
      <c r="C26" s="7"/>
      <c r="D26" s="7"/>
      <c r="E26" s="7"/>
      <c r="F26" s="7"/>
      <c r="G26" s="7"/>
      <c r="H26" s="7"/>
      <c r="I26" s="7"/>
      <c r="J26" s="7"/>
      <c r="K26" s="7"/>
      <c r="L26" s="7"/>
      <c r="M26" s="7"/>
      <c r="N26" s="7"/>
      <c r="O26" s="7"/>
      <c r="P26" s="7"/>
      <c r="Q26" s="7"/>
      <c r="R26" s="7"/>
      <c r="S26" s="7"/>
      <c r="T26" s="7"/>
      <c r="U26" s="7"/>
      <c r="V26" s="7"/>
      <c r="W26" s="7"/>
    </row>
    <row r="27" spans="1:23">
      <c r="A27" s="7"/>
      <c r="B27" s="7"/>
      <c r="C27" s="7"/>
      <c r="D27" s="7"/>
      <c r="E27" s="7"/>
      <c r="F27" s="7"/>
      <c r="G27" s="7"/>
      <c r="H27" s="7"/>
      <c r="I27" s="7"/>
      <c r="J27" s="7"/>
      <c r="K27" s="7"/>
      <c r="L27" s="7"/>
      <c r="M27" s="7"/>
      <c r="N27" s="7"/>
      <c r="O27" s="7"/>
      <c r="P27" s="7"/>
      <c r="Q27" s="7"/>
      <c r="R27" s="7"/>
      <c r="S27" s="7"/>
      <c r="T27" s="7"/>
      <c r="U27" s="7"/>
      <c r="V27" s="7"/>
      <c r="W27" s="7"/>
    </row>
    <row r="28" spans="1:23">
      <c r="A28" s="7"/>
      <c r="B28" s="7"/>
      <c r="C28" s="7"/>
      <c r="D28" s="7"/>
      <c r="E28" s="7"/>
      <c r="F28" s="7"/>
      <c r="G28" s="7"/>
      <c r="H28" s="7"/>
      <c r="I28" s="7"/>
      <c r="J28" s="7"/>
      <c r="K28" s="7"/>
      <c r="L28" s="7"/>
      <c r="M28" s="7"/>
      <c r="N28" s="7"/>
      <c r="O28" s="7"/>
      <c r="P28" s="7"/>
      <c r="Q28" s="7"/>
      <c r="R28" s="7"/>
      <c r="S28" s="7"/>
      <c r="T28" s="7"/>
      <c r="U28" s="7"/>
      <c r="V28" s="7"/>
      <c r="W28" s="7"/>
    </row>
    <row r="29" spans="1:23">
      <c r="A29" s="7"/>
      <c r="B29" s="7"/>
      <c r="C29" s="7"/>
      <c r="D29" s="7"/>
      <c r="E29" s="7"/>
      <c r="F29" s="7"/>
      <c r="G29" s="7"/>
      <c r="H29" s="7"/>
      <c r="I29" s="7"/>
      <c r="J29" s="7"/>
      <c r="K29" s="7"/>
      <c r="L29" s="7"/>
      <c r="M29" s="7"/>
      <c r="N29" s="7"/>
      <c r="O29" s="7"/>
      <c r="P29" s="7"/>
      <c r="Q29" s="7"/>
      <c r="R29" s="7"/>
      <c r="S29" s="7"/>
      <c r="T29" s="7"/>
      <c r="U29" s="7"/>
      <c r="V29" s="7"/>
      <c r="W29" s="7"/>
    </row>
    <row r="30" spans="1:23">
      <c r="A30" s="7"/>
      <c r="B30" s="7"/>
      <c r="C30" s="7"/>
      <c r="D30" s="7"/>
      <c r="E30" s="7"/>
      <c r="F30" s="7"/>
      <c r="G30" s="7"/>
      <c r="H30" s="7"/>
      <c r="I30" s="7"/>
      <c r="J30" s="7"/>
      <c r="K30" s="7"/>
      <c r="L30" s="7"/>
      <c r="M30" s="7"/>
      <c r="N30" s="7"/>
      <c r="O30" s="7"/>
      <c r="P30" s="7"/>
      <c r="Q30" s="7"/>
      <c r="R30" s="7"/>
      <c r="S30" s="7"/>
      <c r="T30" s="7"/>
      <c r="U30" s="7"/>
      <c r="V30" s="7"/>
      <c r="W30" s="7"/>
    </row>
    <row r="31" spans="1:23">
      <c r="A31" s="7"/>
      <c r="B31" s="7"/>
      <c r="C31" s="7"/>
      <c r="D31" s="7"/>
      <c r="E31" s="7"/>
      <c r="F31" s="7"/>
      <c r="G31" s="7"/>
      <c r="H31" s="7"/>
      <c r="I31" s="7"/>
      <c r="J31" s="7"/>
      <c r="K31" s="7"/>
      <c r="L31" s="7"/>
      <c r="M31" s="7"/>
      <c r="N31" s="7"/>
      <c r="O31" s="7"/>
      <c r="P31" s="7"/>
      <c r="Q31" s="7"/>
      <c r="R31" s="7"/>
      <c r="S31" s="7"/>
      <c r="T31" s="7"/>
      <c r="U31" s="7"/>
      <c r="V31" s="7"/>
      <c r="W31" s="7"/>
    </row>
    <row r="32" spans="1:23">
      <c r="A32" s="7"/>
      <c r="B32" s="7"/>
      <c r="C32" s="7"/>
      <c r="D32" s="7"/>
      <c r="E32" s="7"/>
      <c r="F32" s="7"/>
      <c r="G32" s="7"/>
      <c r="H32" s="7"/>
      <c r="I32" s="7"/>
      <c r="J32" s="7"/>
      <c r="K32" s="7"/>
      <c r="L32" s="7"/>
      <c r="M32" s="7"/>
      <c r="N32" s="7"/>
      <c r="O32" s="7"/>
      <c r="P32" s="7"/>
      <c r="Q32" s="7"/>
      <c r="R32" s="7"/>
      <c r="S32" s="7"/>
      <c r="T32" s="7"/>
      <c r="U32" s="7"/>
      <c r="V32" s="7"/>
      <c r="W32" s="7"/>
    </row>
    <row r="33" spans="1:23">
      <c r="A33" s="7"/>
      <c r="B33" s="7"/>
      <c r="C33" s="7"/>
      <c r="D33" s="7"/>
      <c r="E33" s="7"/>
      <c r="F33" s="7"/>
      <c r="G33" s="7"/>
      <c r="H33" s="7"/>
      <c r="I33" s="7"/>
      <c r="J33" s="7"/>
      <c r="K33" s="7"/>
      <c r="L33" s="7"/>
      <c r="M33" s="7"/>
      <c r="N33" s="7"/>
      <c r="O33" s="7"/>
      <c r="P33" s="7"/>
      <c r="Q33" s="7"/>
      <c r="R33" s="7"/>
      <c r="S33" s="7"/>
      <c r="T33" s="7"/>
      <c r="U33" s="7"/>
      <c r="V33" s="7"/>
      <c r="W33" s="7"/>
    </row>
    <row r="34" spans="1:23">
      <c r="A34" s="7"/>
      <c r="B34" s="7"/>
      <c r="C34" s="7"/>
      <c r="D34" s="7"/>
      <c r="E34" s="7"/>
      <c r="F34" s="7"/>
      <c r="G34" s="7"/>
      <c r="H34" s="7"/>
      <c r="I34" s="7"/>
      <c r="J34" s="7"/>
      <c r="K34" s="7"/>
      <c r="L34" s="7"/>
      <c r="M34" s="7"/>
      <c r="N34" s="7"/>
      <c r="O34" s="7"/>
      <c r="P34" s="7"/>
      <c r="Q34" s="7"/>
      <c r="R34" s="7"/>
      <c r="S34" s="7"/>
      <c r="T34" s="7"/>
      <c r="U34" s="7"/>
      <c r="V34" s="7"/>
      <c r="W34" s="7"/>
    </row>
    <row r="35" spans="1:23">
      <c r="A35" s="7"/>
      <c r="B35" s="7"/>
      <c r="C35" s="7"/>
      <c r="D35" s="7"/>
      <c r="E35" s="7"/>
      <c r="F35" s="7"/>
      <c r="G35" s="7"/>
      <c r="H35" s="7"/>
      <c r="I35" s="7"/>
      <c r="J35" s="7"/>
      <c r="K35" s="7"/>
      <c r="L35" s="7"/>
      <c r="M35" s="7"/>
      <c r="N35" s="7"/>
      <c r="O35" s="7"/>
      <c r="P35" s="7"/>
      <c r="Q35" s="7"/>
      <c r="R35" s="7"/>
      <c r="S35" s="7"/>
      <c r="T35" s="7"/>
      <c r="U35" s="7"/>
      <c r="V35" s="7"/>
      <c r="W35" s="7"/>
    </row>
    <row r="36" spans="1:23">
      <c r="A36" s="7"/>
      <c r="B36" s="7"/>
      <c r="C36" s="7"/>
      <c r="D36" s="7"/>
      <c r="E36" s="7"/>
      <c r="F36" s="7"/>
      <c r="G36" s="7"/>
      <c r="H36" s="7"/>
      <c r="I36" s="7"/>
      <c r="J36" s="7"/>
      <c r="K36" s="7"/>
      <c r="L36" s="7"/>
      <c r="M36" s="7"/>
      <c r="N36" s="7"/>
      <c r="O36" s="7"/>
      <c r="P36" s="7"/>
      <c r="Q36" s="7"/>
      <c r="R36" s="7"/>
      <c r="S36" s="7"/>
      <c r="T36" s="7"/>
      <c r="U36" s="7"/>
      <c r="V36" s="7"/>
      <c r="W36" s="7"/>
    </row>
    <row r="37" spans="1:23">
      <c r="A37" s="7"/>
      <c r="B37" s="7"/>
      <c r="C37" s="7"/>
      <c r="D37" s="7"/>
      <c r="E37" s="7"/>
      <c r="F37" s="7"/>
      <c r="G37" s="7"/>
      <c r="H37" s="7"/>
      <c r="I37" s="7"/>
      <c r="J37" s="7"/>
      <c r="K37" s="7"/>
      <c r="L37" s="7"/>
      <c r="M37" s="7"/>
      <c r="N37" s="7"/>
      <c r="O37" s="7"/>
      <c r="P37" s="7"/>
      <c r="Q37" s="7"/>
      <c r="R37" s="7"/>
      <c r="S37" s="7"/>
      <c r="T37" s="7"/>
      <c r="U37" s="7"/>
      <c r="V37" s="7"/>
      <c r="W37" s="7"/>
    </row>
    <row r="38" spans="1:23">
      <c r="A38" s="7"/>
      <c r="B38" s="7"/>
      <c r="C38" s="7"/>
      <c r="D38" s="7"/>
      <c r="E38" s="7"/>
      <c r="F38" s="7"/>
      <c r="G38" s="7"/>
      <c r="H38" s="7"/>
      <c r="I38" s="7"/>
      <c r="J38" s="7"/>
      <c r="K38" s="7"/>
      <c r="L38" s="7"/>
      <c r="M38" s="7"/>
      <c r="N38" s="7"/>
      <c r="O38" s="7"/>
      <c r="P38" s="7"/>
      <c r="Q38" s="7"/>
      <c r="R38" s="7"/>
      <c r="S38" s="7"/>
      <c r="T38" s="7"/>
      <c r="U38" s="7"/>
      <c r="V38" s="7"/>
      <c r="W38" s="7"/>
    </row>
    <row r="39" spans="1:23">
      <c r="A39" s="7"/>
      <c r="B39" s="7"/>
      <c r="C39" s="7"/>
      <c r="D39" s="7"/>
      <c r="E39" s="7"/>
      <c r="F39" s="7"/>
      <c r="G39" s="7"/>
      <c r="H39" s="7"/>
      <c r="I39" s="7"/>
      <c r="J39" s="7"/>
      <c r="K39" s="7"/>
      <c r="L39" s="7"/>
      <c r="M39" s="7"/>
      <c r="N39" s="7"/>
      <c r="O39" s="7"/>
      <c r="P39" s="7"/>
      <c r="Q39" s="7"/>
      <c r="R39" s="7"/>
      <c r="S39" s="7"/>
      <c r="T39" s="7"/>
      <c r="U39" s="7"/>
      <c r="V39" s="7"/>
      <c r="W39" s="7"/>
    </row>
    <row r="40" spans="1:23">
      <c r="A40" s="7"/>
      <c r="B40" s="7"/>
      <c r="C40" s="7"/>
      <c r="D40" s="7"/>
      <c r="E40" s="7"/>
      <c r="F40" s="7"/>
      <c r="G40" s="7"/>
      <c r="H40" s="7"/>
      <c r="I40" s="7"/>
      <c r="J40" s="7"/>
      <c r="K40" s="7"/>
      <c r="L40" s="7"/>
      <c r="M40" s="7"/>
      <c r="N40" s="7"/>
      <c r="O40" s="7"/>
      <c r="P40" s="7"/>
      <c r="Q40" s="7"/>
      <c r="R40" s="7"/>
      <c r="S40" s="7"/>
      <c r="T40" s="7"/>
      <c r="U40" s="7"/>
      <c r="V40" s="7"/>
      <c r="W40" s="7"/>
    </row>
    <row r="41" spans="1:23">
      <c r="A41" s="7"/>
      <c r="B41" s="7"/>
      <c r="C41" s="7"/>
      <c r="D41" s="7"/>
      <c r="E41" s="7"/>
      <c r="F41" s="7"/>
      <c r="G41" s="7"/>
      <c r="H41" s="7"/>
      <c r="I41" s="7"/>
      <c r="J41" s="7"/>
      <c r="K41" s="7"/>
      <c r="L41" s="7"/>
      <c r="M41" s="7"/>
      <c r="N41" s="7"/>
      <c r="O41" s="7"/>
      <c r="P41" s="7"/>
      <c r="Q41" s="7"/>
      <c r="R41" s="7"/>
      <c r="S41" s="7"/>
      <c r="T41" s="7"/>
      <c r="U41" s="7"/>
      <c r="V41" s="7"/>
      <c r="W41" s="7"/>
    </row>
    <row r="42" spans="1:23">
      <c r="A42" s="7"/>
      <c r="B42" s="7"/>
      <c r="C42" s="7"/>
      <c r="D42" s="7"/>
      <c r="E42" s="7"/>
      <c r="F42" s="7"/>
      <c r="G42" s="7"/>
      <c r="H42" s="7"/>
      <c r="I42" s="7"/>
      <c r="J42" s="7"/>
      <c r="K42" s="7"/>
      <c r="L42" s="7"/>
      <c r="M42" s="7"/>
      <c r="N42" s="7"/>
      <c r="O42" s="7"/>
      <c r="P42" s="7"/>
      <c r="Q42" s="7"/>
      <c r="R42" s="7"/>
      <c r="S42" s="7"/>
      <c r="T42" s="7"/>
      <c r="U42" s="7"/>
      <c r="V42" s="7"/>
      <c r="W42" s="7"/>
    </row>
    <row r="43" spans="1:23">
      <c r="A43" s="7"/>
      <c r="B43" s="7"/>
      <c r="C43" s="7"/>
      <c r="D43" s="7"/>
      <c r="E43" s="7"/>
      <c r="F43" s="7"/>
      <c r="G43" s="7"/>
      <c r="H43" s="7"/>
      <c r="I43" s="7"/>
      <c r="J43" s="7"/>
      <c r="K43" s="7"/>
      <c r="L43" s="7"/>
      <c r="M43" s="7"/>
      <c r="N43" s="7"/>
      <c r="O43" s="7"/>
      <c r="P43" s="7"/>
      <c r="Q43" s="7"/>
      <c r="R43" s="7"/>
      <c r="S43" s="7"/>
      <c r="T43" s="7"/>
      <c r="U43" s="7"/>
      <c r="V43" s="7"/>
      <c r="W43" s="7"/>
    </row>
    <row r="44" spans="1:23">
      <c r="A44" s="7"/>
      <c r="B44" s="7"/>
      <c r="C44" s="7"/>
      <c r="D44" s="7"/>
      <c r="E44" s="7"/>
      <c r="F44" s="7"/>
      <c r="G44" s="7"/>
      <c r="H44" s="7"/>
      <c r="I44" s="7"/>
      <c r="J44" s="7"/>
      <c r="K44" s="7"/>
      <c r="L44" s="7"/>
      <c r="M44" s="7"/>
      <c r="N44" s="7"/>
      <c r="O44" s="7"/>
      <c r="P44" s="7"/>
      <c r="Q44" s="7"/>
      <c r="R44" s="7"/>
      <c r="S44" s="7"/>
      <c r="T44" s="7"/>
      <c r="U44" s="7"/>
      <c r="V44" s="7"/>
      <c r="W44" s="7"/>
    </row>
    <row r="45" spans="1:23">
      <c r="A45" s="7"/>
      <c r="B45" s="7"/>
      <c r="C45" s="7"/>
      <c r="D45" s="7"/>
      <c r="E45" s="7"/>
      <c r="F45" s="7"/>
      <c r="G45" s="7"/>
      <c r="H45" s="7"/>
      <c r="I45" s="7"/>
      <c r="J45" s="7"/>
      <c r="K45" s="7"/>
      <c r="L45" s="7"/>
      <c r="M45" s="7"/>
      <c r="N45" s="7"/>
      <c r="O45" s="7"/>
      <c r="P45" s="7"/>
      <c r="Q45" s="7"/>
      <c r="R45" s="7"/>
      <c r="S45" s="7"/>
      <c r="T45" s="7"/>
      <c r="U45" s="7"/>
      <c r="V45" s="7"/>
      <c r="W45" s="7"/>
    </row>
    <row r="46" spans="1:23">
      <c r="A46" s="7"/>
      <c r="B46" s="7"/>
      <c r="C46" s="7"/>
      <c r="D46" s="7"/>
      <c r="E46" s="7"/>
      <c r="F46" s="7"/>
      <c r="G46" s="7"/>
      <c r="H46" s="7"/>
      <c r="I46" s="7"/>
      <c r="J46" s="7"/>
      <c r="K46" s="7"/>
      <c r="L46" s="7"/>
      <c r="M46" s="7"/>
      <c r="N46" s="7"/>
      <c r="O46" s="7"/>
      <c r="P46" s="7"/>
      <c r="Q46" s="7"/>
      <c r="R46" s="7"/>
      <c r="S46" s="7"/>
      <c r="T46" s="7"/>
      <c r="U46" s="7"/>
      <c r="V46" s="7"/>
      <c r="W46" s="7"/>
    </row>
    <row r="47" spans="1:23">
      <c r="A47" s="7"/>
      <c r="B47" s="7"/>
      <c r="C47" s="7"/>
      <c r="D47" s="7"/>
      <c r="E47" s="7"/>
      <c r="F47" s="7"/>
      <c r="G47" s="7"/>
      <c r="H47" s="7"/>
      <c r="I47" s="7"/>
      <c r="J47" s="7"/>
      <c r="K47" s="7"/>
      <c r="L47" s="7"/>
      <c r="M47" s="7"/>
      <c r="N47" s="7"/>
      <c r="O47" s="7"/>
      <c r="P47" s="7"/>
      <c r="Q47" s="7"/>
      <c r="R47" s="7"/>
      <c r="S47" s="7"/>
      <c r="T47" s="7"/>
      <c r="U47" s="7"/>
      <c r="V47" s="7"/>
      <c r="W47" s="7"/>
    </row>
    <row r="48" spans="1:23">
      <c r="A48" s="7"/>
      <c r="B48" s="7"/>
      <c r="C48" s="7"/>
      <c r="D48" s="7"/>
      <c r="E48" s="7"/>
      <c r="F48" s="7"/>
      <c r="G48" s="7"/>
      <c r="H48" s="7"/>
      <c r="I48" s="7"/>
      <c r="J48" s="7"/>
      <c r="K48" s="7"/>
      <c r="L48" s="7"/>
      <c r="M48" s="7"/>
      <c r="N48" s="7"/>
      <c r="O48" s="7"/>
      <c r="P48" s="7"/>
      <c r="Q48" s="7"/>
      <c r="R48" s="7"/>
      <c r="S48" s="7"/>
      <c r="T48" s="7"/>
      <c r="U48" s="7"/>
      <c r="V48" s="7"/>
      <c r="W48" s="7"/>
    </row>
    <row r="49" spans="1:23">
      <c r="A49" s="7"/>
      <c r="B49" s="7"/>
      <c r="C49" s="7"/>
      <c r="D49" s="7"/>
      <c r="E49" s="7"/>
      <c r="F49" s="7"/>
      <c r="G49" s="7"/>
      <c r="H49" s="7"/>
      <c r="I49" s="7"/>
      <c r="J49" s="7"/>
      <c r="K49" s="7"/>
      <c r="L49" s="7"/>
      <c r="M49" s="7"/>
      <c r="N49" s="7"/>
      <c r="O49" s="7"/>
      <c r="P49" s="7"/>
      <c r="Q49" s="7"/>
      <c r="R49" s="7"/>
      <c r="S49" s="7"/>
      <c r="T49" s="7"/>
      <c r="U49" s="7"/>
      <c r="V49" s="7"/>
      <c r="W49" s="7"/>
    </row>
    <row r="50" spans="1:23">
      <c r="A50" s="7"/>
      <c r="B50" s="7"/>
      <c r="C50" s="7"/>
      <c r="D50" s="7"/>
      <c r="E50" s="7"/>
      <c r="F50" s="7"/>
      <c r="G50" s="7"/>
      <c r="H50" s="7"/>
      <c r="I50" s="7"/>
      <c r="J50" s="7"/>
      <c r="K50" s="7"/>
      <c r="L50" s="7"/>
      <c r="M50" s="7"/>
      <c r="N50" s="7"/>
      <c r="O50" s="7"/>
      <c r="P50" s="7"/>
      <c r="Q50" s="7"/>
      <c r="R50" s="7"/>
      <c r="S50" s="7"/>
      <c r="T50" s="7"/>
      <c r="U50" s="7"/>
      <c r="V50" s="7"/>
      <c r="W50" s="7"/>
    </row>
    <row r="51" spans="1:23">
      <c r="A51" s="7"/>
      <c r="B51" s="7"/>
      <c r="C51" s="7"/>
      <c r="D51" s="7"/>
      <c r="E51" s="7"/>
      <c r="F51" s="7"/>
      <c r="G51" s="7"/>
      <c r="H51" s="7"/>
      <c r="I51" s="7"/>
      <c r="J51" s="7"/>
      <c r="K51" s="7"/>
      <c r="L51" s="7"/>
      <c r="M51" s="7"/>
      <c r="N51" s="7"/>
      <c r="O51" s="7"/>
      <c r="P51" s="7"/>
      <c r="Q51" s="7"/>
      <c r="R51" s="7"/>
      <c r="S51" s="7"/>
      <c r="T51" s="7"/>
      <c r="U51" s="7"/>
      <c r="V51" s="7"/>
      <c r="W51" s="7"/>
    </row>
    <row r="52" spans="1:23">
      <c r="A52" s="7"/>
      <c r="B52" s="7"/>
      <c r="C52" s="7"/>
      <c r="D52" s="7"/>
      <c r="E52" s="7"/>
      <c r="F52" s="7"/>
      <c r="G52" s="7"/>
      <c r="H52" s="7"/>
      <c r="I52" s="7"/>
      <c r="J52" s="7"/>
      <c r="K52" s="7"/>
      <c r="L52" s="7"/>
      <c r="M52" s="7"/>
      <c r="N52" s="7"/>
      <c r="O52" s="7"/>
      <c r="P52" s="7"/>
      <c r="Q52" s="7"/>
      <c r="R52" s="7"/>
      <c r="S52" s="7"/>
      <c r="T52" s="7"/>
      <c r="U52" s="7"/>
      <c r="V52" s="7"/>
      <c r="W52" s="7"/>
    </row>
    <row r="53" spans="1:23">
      <c r="A53" s="7"/>
      <c r="B53" s="7"/>
      <c r="C53" s="7"/>
      <c r="D53" s="7"/>
      <c r="E53" s="7"/>
      <c r="F53" s="7"/>
      <c r="G53" s="7"/>
      <c r="H53" s="7"/>
      <c r="I53" s="7"/>
      <c r="J53" s="7"/>
      <c r="K53" s="7"/>
      <c r="L53" s="7"/>
      <c r="M53" s="7"/>
      <c r="N53" s="7"/>
      <c r="O53" s="7"/>
      <c r="P53" s="7"/>
      <c r="Q53" s="7"/>
      <c r="R53" s="7"/>
      <c r="S53" s="7"/>
      <c r="T53" s="7"/>
      <c r="U53" s="7"/>
      <c r="V53" s="7"/>
      <c r="W53" s="7"/>
    </row>
    <row r="54" spans="1:23">
      <c r="A54" s="7"/>
      <c r="B54" s="7"/>
      <c r="C54" s="7"/>
      <c r="D54" s="7"/>
      <c r="E54" s="7"/>
      <c r="F54" s="7"/>
      <c r="G54" s="7"/>
      <c r="H54" s="7"/>
      <c r="I54" s="7"/>
      <c r="J54" s="7"/>
      <c r="K54" s="7"/>
      <c r="L54" s="7"/>
      <c r="M54" s="7"/>
      <c r="N54" s="7"/>
      <c r="O54" s="7"/>
      <c r="P54" s="7"/>
      <c r="Q54" s="7"/>
      <c r="R54" s="7"/>
      <c r="S54" s="7"/>
      <c r="T54" s="7"/>
      <c r="U54" s="7"/>
      <c r="V54" s="7"/>
      <c r="W54" s="7"/>
    </row>
    <row r="55" spans="1:23">
      <c r="A55" s="7"/>
      <c r="B55" s="7"/>
      <c r="N55" s="7"/>
      <c r="O55" s="7"/>
      <c r="P55" s="7"/>
      <c r="Q55" s="7"/>
      <c r="R55" s="7"/>
      <c r="S55" s="7"/>
      <c r="T55" s="7"/>
      <c r="U55" s="7"/>
      <c r="V55" s="7"/>
      <c r="W55" s="7"/>
    </row>
    <row r="56" spans="1:23">
      <c r="A56" s="7"/>
      <c r="B56" s="7"/>
      <c r="N56" s="7"/>
      <c r="O56" s="7"/>
      <c r="P56" s="7"/>
      <c r="Q56" s="7"/>
      <c r="R56" s="7"/>
      <c r="S56" s="7"/>
      <c r="T56" s="7"/>
      <c r="U56" s="7"/>
      <c r="V56" s="7"/>
      <c r="W56" s="7"/>
    </row>
    <row r="57" spans="1:23">
      <c r="A57" s="7"/>
      <c r="B57" s="7"/>
      <c r="N57" s="7"/>
      <c r="O57" s="7"/>
      <c r="P57" s="7"/>
      <c r="Q57" s="7"/>
      <c r="R57" s="7"/>
      <c r="S57" s="7"/>
      <c r="T57" s="7"/>
      <c r="U57" s="7"/>
      <c r="V57" s="7"/>
      <c r="W57" s="7"/>
    </row>
    <row r="58" spans="1:23">
      <c r="A58" s="7"/>
      <c r="B58" s="7"/>
      <c r="N58" s="7"/>
      <c r="O58" s="7"/>
      <c r="P58" s="7"/>
      <c r="Q58" s="7"/>
      <c r="R58" s="7"/>
      <c r="S58" s="7"/>
      <c r="T58" s="7"/>
      <c r="U58" s="7"/>
      <c r="V58" s="7"/>
      <c r="W58" s="7"/>
    </row>
    <row r="59" spans="1:23">
      <c r="A59" s="7"/>
      <c r="B59" s="7"/>
      <c r="N59" s="7"/>
      <c r="O59" s="7"/>
      <c r="P59" s="7"/>
      <c r="Q59" s="7"/>
      <c r="R59" s="7"/>
      <c r="S59" s="7"/>
      <c r="T59" s="7"/>
      <c r="U59" s="7"/>
      <c r="V59" s="7"/>
      <c r="W59" s="7"/>
    </row>
    <row r="60" spans="1:23">
      <c r="A60" s="7"/>
      <c r="B60" s="7"/>
      <c r="N60" s="7"/>
      <c r="O60" s="7"/>
      <c r="P60" s="7"/>
      <c r="Q60" s="7"/>
      <c r="R60" s="7"/>
      <c r="S60" s="7"/>
      <c r="T60" s="7"/>
      <c r="U60" s="7"/>
      <c r="V60" s="7"/>
      <c r="W60" s="7"/>
    </row>
  </sheetData>
  <sheetProtection sheet="1" objects="1" scenarios="1" selectLockedCells="1"/>
  <mergeCells count="7">
    <mergeCell ref="C2:H2"/>
    <mergeCell ref="C3:M7"/>
    <mergeCell ref="C8:M11"/>
    <mergeCell ref="C23:M25"/>
    <mergeCell ref="C12:M16"/>
    <mergeCell ref="C19:M22"/>
    <mergeCell ref="C17:M18"/>
  </mergeCells>
  <phoneticPr fontId="0"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pageSetUpPr autoPageBreaks="0"/>
  </sheetPr>
  <dimension ref="A1:V62"/>
  <sheetViews>
    <sheetView showRowColHeaders="0" zoomScaleNormal="90" workbookViewId="0">
      <selection activeCell="D4" sqref="D4"/>
    </sheetView>
  </sheetViews>
  <sheetFormatPr defaultRowHeight="12.75"/>
  <cols>
    <col min="1" max="1" width="4.5703125" customWidth="1"/>
    <col min="2" max="2" width="10.85546875" customWidth="1"/>
    <col min="3" max="3" width="19.7109375" customWidth="1"/>
    <col min="4" max="4" width="8.28515625" customWidth="1"/>
    <col min="5" max="5" width="16.7109375" customWidth="1"/>
    <col min="6" max="6" width="2.5703125" customWidth="1"/>
    <col min="7" max="7" width="17.7109375" customWidth="1"/>
    <col min="8" max="8" width="8" customWidth="1"/>
    <col min="13" max="13" width="4.5703125" customWidth="1"/>
  </cols>
  <sheetData>
    <row r="1" spans="1:22" ht="6.6" customHeight="1">
      <c r="A1" s="49"/>
      <c r="B1" s="49"/>
      <c r="C1" s="49"/>
      <c r="D1" s="49"/>
      <c r="E1" s="49"/>
      <c r="F1" s="49"/>
      <c r="G1" s="49"/>
      <c r="H1" s="49"/>
      <c r="I1" s="49"/>
      <c r="J1" s="49"/>
      <c r="K1" s="49"/>
      <c r="L1" s="49"/>
      <c r="M1" s="49"/>
      <c r="N1" s="49"/>
      <c r="O1" s="49"/>
      <c r="P1" s="49"/>
      <c r="Q1" s="49"/>
      <c r="R1" s="49"/>
      <c r="S1" s="48"/>
      <c r="T1" s="48"/>
      <c r="U1" s="48"/>
      <c r="V1" s="48"/>
    </row>
    <row r="2" spans="1:22" ht="15">
      <c r="A2" s="57"/>
      <c r="B2" s="128" t="s">
        <v>79</v>
      </c>
      <c r="C2" s="129"/>
      <c r="D2" s="129"/>
      <c r="E2" s="129"/>
      <c r="F2" s="129"/>
      <c r="G2" s="129"/>
      <c r="H2" s="129"/>
      <c r="I2" s="129"/>
      <c r="J2" s="129"/>
      <c r="K2" s="129"/>
      <c r="L2" s="130"/>
      <c r="M2" s="48"/>
      <c r="N2" s="48"/>
      <c r="O2" s="48"/>
      <c r="P2" s="48"/>
      <c r="Q2" s="48"/>
      <c r="R2" s="48"/>
      <c r="S2" s="48"/>
      <c r="T2" s="48"/>
      <c r="U2" s="48"/>
      <c r="V2" s="48"/>
    </row>
    <row r="3" spans="1:22" s="1" customFormat="1" ht="5.25" customHeight="1">
      <c r="A3" s="47"/>
      <c r="B3" s="49"/>
      <c r="C3" s="49"/>
      <c r="D3" s="49"/>
      <c r="E3" s="49"/>
      <c r="F3" s="49"/>
      <c r="G3" s="49"/>
      <c r="H3" s="49"/>
      <c r="I3" s="49"/>
      <c r="J3" s="49"/>
      <c r="K3" s="49"/>
      <c r="L3" s="49"/>
      <c r="M3" s="49"/>
      <c r="N3" s="49"/>
      <c r="O3" s="49"/>
      <c r="P3" s="49"/>
      <c r="Q3" s="49"/>
      <c r="R3" s="49"/>
      <c r="S3" s="48"/>
      <c r="T3" s="48"/>
      <c r="U3" s="48"/>
      <c r="V3" s="48"/>
    </row>
    <row r="4" spans="1:22" s="1" customFormat="1" ht="13.5" customHeight="1">
      <c r="A4" s="47"/>
      <c r="B4" s="131" t="s">
        <v>40</v>
      </c>
      <c r="C4" s="8" t="s">
        <v>41</v>
      </c>
      <c r="D4" s="2">
        <v>19300</v>
      </c>
      <c r="E4" s="12" t="s">
        <v>0</v>
      </c>
      <c r="F4" s="56"/>
      <c r="G4" s="27" t="s">
        <v>38</v>
      </c>
      <c r="H4" s="28" t="s">
        <v>36</v>
      </c>
      <c r="I4" s="48"/>
      <c r="J4" s="49"/>
      <c r="K4" s="135" t="s">
        <v>30</v>
      </c>
      <c r="L4" s="135"/>
      <c r="M4" s="49"/>
      <c r="N4" s="49"/>
      <c r="O4" s="49"/>
      <c r="P4" s="49"/>
      <c r="Q4" s="49"/>
      <c r="R4" s="49"/>
      <c r="S4" s="48"/>
      <c r="T4" s="48"/>
      <c r="U4" s="48"/>
      <c r="V4" s="48"/>
    </row>
    <row r="5" spans="1:22" s="1" customFormat="1" ht="12" customHeight="1">
      <c r="A5" s="47"/>
      <c r="B5" s="132"/>
      <c r="C5" s="9" t="s">
        <v>42</v>
      </c>
      <c r="D5" s="2">
        <v>0.48</v>
      </c>
      <c r="E5" s="13" t="s">
        <v>1</v>
      </c>
      <c r="F5" s="56"/>
      <c r="G5" s="9" t="s">
        <v>11</v>
      </c>
      <c r="H5" s="15">
        <v>7800</v>
      </c>
      <c r="I5" s="61"/>
      <c r="J5" s="49"/>
      <c r="K5" s="25" t="s">
        <v>34</v>
      </c>
      <c r="L5" s="26" t="s">
        <v>35</v>
      </c>
      <c r="M5" s="49"/>
      <c r="N5" s="49"/>
      <c r="O5" s="49"/>
      <c r="P5" s="49"/>
      <c r="Q5" s="49"/>
      <c r="R5" s="49"/>
      <c r="S5" s="48"/>
      <c r="T5" s="48"/>
      <c r="U5" s="48"/>
      <c r="V5" s="48"/>
    </row>
    <row r="6" spans="1:22" s="1" customFormat="1">
      <c r="A6" s="47"/>
      <c r="B6" s="132"/>
      <c r="C6" s="78" t="s">
        <v>9</v>
      </c>
      <c r="D6" s="79">
        <v>38</v>
      </c>
      <c r="E6" s="13" t="s">
        <v>5</v>
      </c>
      <c r="F6" s="56"/>
      <c r="G6" s="9" t="s">
        <v>12</v>
      </c>
      <c r="H6" s="16">
        <v>4500</v>
      </c>
      <c r="I6" s="61"/>
      <c r="J6" s="49"/>
      <c r="K6" s="23" t="s">
        <v>31</v>
      </c>
      <c r="L6" s="24" t="s">
        <v>1</v>
      </c>
      <c r="M6" s="49"/>
      <c r="N6" s="49"/>
      <c r="O6" s="49"/>
      <c r="P6" s="49"/>
      <c r="Q6" s="49"/>
      <c r="R6" s="49"/>
      <c r="S6" s="48"/>
      <c r="T6" s="48"/>
      <c r="U6" s="48"/>
      <c r="V6" s="48"/>
    </row>
    <row r="7" spans="1:22" s="1" customFormat="1" ht="12" customHeight="1">
      <c r="A7" s="47"/>
      <c r="B7" s="132"/>
      <c r="C7" s="40" t="s">
        <v>63</v>
      </c>
      <c r="D7" s="70">
        <v>180</v>
      </c>
      <c r="E7" s="14" t="s">
        <v>62</v>
      </c>
      <c r="F7" s="49"/>
      <c r="G7" s="9" t="s">
        <v>13</v>
      </c>
      <c r="H7" s="16">
        <v>2760</v>
      </c>
      <c r="I7" s="61"/>
      <c r="J7" s="49"/>
      <c r="K7" s="20">
        <v>68</v>
      </c>
      <c r="L7" s="19">
        <f>K7/141.69</f>
        <v>0.47992095419577951</v>
      </c>
      <c r="M7" s="49"/>
      <c r="N7" s="49"/>
      <c r="O7" s="49"/>
      <c r="P7" s="49"/>
      <c r="Q7" s="49"/>
      <c r="R7" s="49"/>
      <c r="S7" s="48"/>
      <c r="T7" s="48"/>
      <c r="U7" s="48"/>
      <c r="V7" s="48"/>
    </row>
    <row r="8" spans="1:22" s="1" customFormat="1" ht="13.5" customHeight="1">
      <c r="A8" s="47"/>
      <c r="B8" s="132"/>
      <c r="C8" s="10" t="s">
        <v>55</v>
      </c>
      <c r="D8" s="6">
        <f>'Data Table'!M7</f>
        <v>0.44131578947368422</v>
      </c>
      <c r="E8" s="14" t="s">
        <v>1</v>
      </c>
      <c r="F8" s="55"/>
      <c r="G8" s="9" t="s">
        <v>14</v>
      </c>
      <c r="H8" s="16">
        <v>1770</v>
      </c>
      <c r="I8" s="61"/>
      <c r="J8" s="49"/>
      <c r="K8" s="21" t="s">
        <v>19</v>
      </c>
      <c r="L8" s="22" t="s">
        <v>32</v>
      </c>
      <c r="M8" s="49"/>
      <c r="N8" s="49"/>
      <c r="O8" s="49"/>
      <c r="P8" s="49"/>
      <c r="Q8" s="49"/>
      <c r="R8" s="49"/>
      <c r="S8" s="48"/>
      <c r="T8" s="48"/>
      <c r="U8" s="48"/>
      <c r="V8" s="48"/>
    </row>
    <row r="9" spans="1:22" s="1" customFormat="1" ht="12" customHeight="1">
      <c r="A9" s="47"/>
      <c r="B9" s="60"/>
      <c r="C9" s="146"/>
      <c r="D9" s="146"/>
      <c r="E9" s="146"/>
      <c r="F9" s="55"/>
      <c r="G9" s="17" t="s">
        <v>17</v>
      </c>
      <c r="H9" s="16">
        <v>1600</v>
      </c>
      <c r="I9" s="61"/>
      <c r="J9" s="49"/>
      <c r="K9" s="20">
        <v>12</v>
      </c>
      <c r="L9" s="34">
        <f>K9/39.37</f>
        <v>0.30480060960121924</v>
      </c>
      <c r="M9" s="49"/>
      <c r="N9" s="49"/>
      <c r="O9" s="49"/>
      <c r="P9" s="49"/>
      <c r="Q9" s="49"/>
      <c r="R9" s="49"/>
      <c r="S9" s="48"/>
      <c r="T9" s="48"/>
      <c r="U9" s="48"/>
      <c r="V9" s="48"/>
    </row>
    <row r="10" spans="1:22" s="1" customFormat="1" ht="12.75" customHeight="1">
      <c r="A10" s="47"/>
      <c r="B10" s="133" t="s">
        <v>52</v>
      </c>
      <c r="C10" s="38" t="s">
        <v>2</v>
      </c>
      <c r="D10" s="43">
        <v>0.5</v>
      </c>
      <c r="E10" s="39" t="s">
        <v>4</v>
      </c>
      <c r="F10" s="55"/>
      <c r="G10" s="17" t="s">
        <v>10</v>
      </c>
      <c r="H10" s="16">
        <v>1200</v>
      </c>
      <c r="I10" s="61"/>
      <c r="J10" s="49"/>
      <c r="K10" s="21" t="s">
        <v>20</v>
      </c>
      <c r="L10" s="22" t="s">
        <v>33</v>
      </c>
      <c r="M10" s="49"/>
      <c r="N10" s="49"/>
      <c r="O10" s="49"/>
      <c r="P10" s="49"/>
      <c r="Q10" s="49"/>
      <c r="R10" s="49"/>
      <c r="S10" s="48"/>
      <c r="T10" s="48"/>
      <c r="U10" s="48"/>
      <c r="V10" s="48"/>
    </row>
    <row r="11" spans="1:22" s="1" customFormat="1" ht="12.75" customHeight="1">
      <c r="A11" s="47"/>
      <c r="B11" s="134"/>
      <c r="C11" s="11" t="s">
        <v>15</v>
      </c>
      <c r="D11" s="37">
        <f>D10*D14^2</f>
        <v>4.4999999999999998E-2</v>
      </c>
      <c r="E11" s="14" t="s">
        <v>23</v>
      </c>
      <c r="F11" s="55"/>
      <c r="G11" s="18" t="s">
        <v>18</v>
      </c>
      <c r="H11" s="16">
        <v>615</v>
      </c>
      <c r="I11" s="61"/>
      <c r="J11" s="49"/>
      <c r="K11" s="20">
        <v>0.61</v>
      </c>
      <c r="L11" s="19">
        <f>K11/0.4536</f>
        <v>1.3447971781305115</v>
      </c>
      <c r="M11" s="49"/>
      <c r="N11" s="49"/>
      <c r="O11" s="49"/>
      <c r="P11" s="49"/>
      <c r="Q11" s="49"/>
      <c r="R11" s="49"/>
      <c r="S11" s="48"/>
      <c r="T11" s="48"/>
      <c r="U11" s="48"/>
      <c r="V11" s="48"/>
    </row>
    <row r="12" spans="1:22" s="1" customFormat="1" ht="13.5" customHeight="1">
      <c r="A12" s="47"/>
      <c r="B12" s="59"/>
      <c r="C12" s="53"/>
      <c r="D12" s="58"/>
      <c r="E12" s="54"/>
      <c r="F12" s="55"/>
      <c r="G12" s="48"/>
      <c r="H12" s="48"/>
      <c r="I12" s="61"/>
      <c r="J12" s="48"/>
      <c r="K12" s="48"/>
      <c r="L12" s="49"/>
      <c r="M12" s="49"/>
      <c r="N12" s="49"/>
      <c r="O12" s="49"/>
      <c r="P12" s="49"/>
      <c r="Q12" s="49"/>
      <c r="R12" s="49"/>
      <c r="S12" s="48"/>
      <c r="T12" s="48"/>
      <c r="U12" s="48"/>
      <c r="V12" s="48"/>
    </row>
    <row r="13" spans="1:22" s="1" customFormat="1" ht="12" customHeight="1">
      <c r="A13" s="47"/>
      <c r="B13" s="143" t="s">
        <v>53</v>
      </c>
      <c r="C13" s="8" t="s">
        <v>39</v>
      </c>
      <c r="D13" s="3">
        <v>4500</v>
      </c>
      <c r="E13" s="12" t="s">
        <v>22</v>
      </c>
      <c r="F13" s="55"/>
      <c r="G13" s="48"/>
      <c r="H13" s="48"/>
      <c r="I13" s="61"/>
      <c r="J13" s="48"/>
      <c r="K13" s="48"/>
      <c r="L13" s="49"/>
      <c r="M13" s="49"/>
      <c r="N13" s="49"/>
      <c r="O13" s="49"/>
      <c r="P13" s="49"/>
      <c r="Q13" s="49"/>
      <c r="R13" s="49"/>
      <c r="S13" s="48"/>
      <c r="T13" s="48"/>
      <c r="U13" s="48"/>
      <c r="V13" s="48"/>
    </row>
    <row r="14" spans="1:22" s="1" customFormat="1">
      <c r="A14" s="47"/>
      <c r="B14" s="144"/>
      <c r="C14" s="9" t="s">
        <v>54</v>
      </c>
      <c r="D14" s="4">
        <v>0.3</v>
      </c>
      <c r="E14" s="13" t="s">
        <v>3</v>
      </c>
      <c r="F14" s="56"/>
      <c r="G14" s="48"/>
      <c r="H14" s="48"/>
      <c r="I14" s="61"/>
      <c r="J14" s="48"/>
      <c r="K14" s="48"/>
      <c r="L14" s="62"/>
      <c r="M14" s="62"/>
      <c r="N14" s="49"/>
      <c r="O14" s="49"/>
      <c r="P14" s="49"/>
      <c r="Q14" s="49"/>
      <c r="R14" s="49"/>
      <c r="S14" s="48"/>
      <c r="T14" s="48"/>
      <c r="U14" s="48"/>
      <c r="V14" s="48"/>
    </row>
    <row r="15" spans="1:22" s="1" customFormat="1">
      <c r="A15" s="47"/>
      <c r="B15" s="144"/>
      <c r="C15" s="9" t="s">
        <v>8</v>
      </c>
      <c r="D15" s="4">
        <v>0.02</v>
      </c>
      <c r="E15" s="13" t="s">
        <v>3</v>
      </c>
      <c r="F15" s="55"/>
      <c r="G15" s="48"/>
      <c r="H15" s="48"/>
      <c r="I15" s="48"/>
      <c r="J15" s="48"/>
      <c r="K15" s="48"/>
      <c r="L15" s="63"/>
      <c r="M15" s="49"/>
      <c r="N15" s="49"/>
      <c r="O15" s="49"/>
      <c r="P15" s="49"/>
      <c r="Q15" s="49"/>
      <c r="R15" s="49"/>
      <c r="S15" s="48"/>
      <c r="T15" s="48"/>
      <c r="U15" s="48"/>
      <c r="V15" s="48"/>
    </row>
    <row r="16" spans="1:22" s="1" customFormat="1">
      <c r="A16" s="47"/>
      <c r="B16" s="144"/>
      <c r="C16" s="10" t="s">
        <v>7</v>
      </c>
      <c r="D16" s="5">
        <v>4</v>
      </c>
      <c r="E16" s="14" t="s">
        <v>6</v>
      </c>
      <c r="F16" s="55"/>
      <c r="G16" s="49"/>
      <c r="H16" s="49"/>
      <c r="I16" s="49"/>
      <c r="J16" s="48"/>
      <c r="K16" s="48"/>
      <c r="L16" s="49"/>
      <c r="M16" s="49"/>
      <c r="N16" s="49"/>
      <c r="O16" s="49"/>
      <c r="P16" s="49"/>
      <c r="Q16" s="49"/>
      <c r="R16" s="49"/>
      <c r="S16" s="48"/>
      <c r="T16" s="48"/>
      <c r="U16" s="48"/>
      <c r="V16" s="48"/>
    </row>
    <row r="17" spans="1:22" s="1" customFormat="1" ht="13.5">
      <c r="A17" s="47"/>
      <c r="B17" s="144"/>
      <c r="C17" s="9" t="s">
        <v>15</v>
      </c>
      <c r="D17" s="41">
        <f>(D18*D14^2)/3</f>
        <v>3.2399999999999998E-3</v>
      </c>
      <c r="E17" s="13" t="s">
        <v>23</v>
      </c>
      <c r="F17" s="55"/>
      <c r="G17" s="48"/>
      <c r="H17" s="48"/>
      <c r="I17" s="48"/>
      <c r="J17" s="48"/>
      <c r="K17" s="48"/>
      <c r="L17" s="48"/>
      <c r="M17" s="49"/>
      <c r="N17" s="49"/>
      <c r="O17" s="49"/>
      <c r="P17" s="49"/>
      <c r="Q17" s="49"/>
      <c r="R17" s="49"/>
      <c r="S17" s="48"/>
      <c r="T17" s="48"/>
      <c r="U17" s="48"/>
      <c r="V17" s="48"/>
    </row>
    <row r="18" spans="1:22" s="1" customFormat="1" ht="13.5" customHeight="1">
      <c r="A18" s="47"/>
      <c r="B18" s="145"/>
      <c r="C18" s="10" t="s">
        <v>2</v>
      </c>
      <c r="D18" s="6">
        <f>$D$14*$D$15*(D16/1000)*$D$13</f>
        <v>0.108</v>
      </c>
      <c r="E18" s="14" t="s">
        <v>4</v>
      </c>
      <c r="F18" s="55"/>
      <c r="G18" s="48"/>
      <c r="H18" s="48"/>
      <c r="I18" s="48"/>
      <c r="J18" s="48"/>
      <c r="K18" s="48"/>
      <c r="L18" s="48"/>
      <c r="M18" s="49"/>
      <c r="N18" s="49"/>
      <c r="O18" s="49"/>
      <c r="P18" s="49"/>
      <c r="Q18" s="49"/>
      <c r="R18" s="49"/>
      <c r="S18" s="48"/>
      <c r="T18" s="48"/>
      <c r="U18" s="48"/>
      <c r="V18" s="48"/>
    </row>
    <row r="19" spans="1:22" s="1" customFormat="1">
      <c r="A19" s="47"/>
      <c r="B19" s="52"/>
      <c r="C19" s="53"/>
      <c r="D19" s="58"/>
      <c r="E19" s="54"/>
      <c r="F19" s="55"/>
      <c r="G19" s="48"/>
      <c r="H19" s="48"/>
      <c r="I19" s="48"/>
      <c r="J19" s="48"/>
      <c r="K19" s="48"/>
      <c r="L19" s="48"/>
      <c r="M19" s="49"/>
      <c r="N19" s="49"/>
      <c r="O19" s="49"/>
      <c r="P19" s="49"/>
      <c r="Q19" s="49"/>
      <c r="R19" s="49"/>
      <c r="S19" s="48"/>
      <c r="T19" s="48"/>
      <c r="U19" s="48"/>
      <c r="V19" s="48"/>
    </row>
    <row r="20" spans="1:22" s="1" customFormat="1" ht="13.5">
      <c r="A20" s="47"/>
      <c r="B20" s="131" t="s">
        <v>16</v>
      </c>
      <c r="C20" s="8" t="s">
        <v>15</v>
      </c>
      <c r="D20" s="42">
        <f>$D$11+$D$17</f>
        <v>4.8239999999999998E-2</v>
      </c>
      <c r="E20" s="12" t="s">
        <v>23</v>
      </c>
      <c r="F20" s="56"/>
      <c r="G20" s="48"/>
      <c r="H20" s="48"/>
      <c r="I20" s="48"/>
      <c r="J20" s="48"/>
      <c r="K20" s="48"/>
      <c r="L20" s="48"/>
      <c r="M20" s="49"/>
      <c r="N20" s="49"/>
      <c r="O20" s="49"/>
      <c r="P20" s="49"/>
      <c r="Q20" s="49"/>
      <c r="R20" s="49"/>
      <c r="S20" s="48"/>
      <c r="T20" s="48"/>
      <c r="U20" s="48"/>
      <c r="V20" s="48"/>
    </row>
    <row r="21" spans="1:22" s="1" customFormat="1">
      <c r="A21" s="47"/>
      <c r="B21" s="136"/>
      <c r="C21" s="10" t="s">
        <v>2</v>
      </c>
      <c r="D21" s="6">
        <f>$D$10+$D$18</f>
        <v>0.60799999999999998</v>
      </c>
      <c r="E21" s="14" t="s">
        <v>4</v>
      </c>
      <c r="F21" s="55"/>
      <c r="G21" s="48"/>
      <c r="H21" s="48"/>
      <c r="I21" s="48"/>
      <c r="J21" s="48"/>
      <c r="K21" s="48"/>
      <c r="L21" s="48"/>
      <c r="M21" s="49"/>
      <c r="N21" s="49"/>
      <c r="O21" s="49"/>
      <c r="P21" s="49"/>
      <c r="Q21" s="49"/>
      <c r="R21" s="49"/>
      <c r="S21" s="48"/>
      <c r="T21" s="48"/>
      <c r="U21" s="48"/>
      <c r="V21" s="48"/>
    </row>
    <row r="22" spans="1:22" s="1" customFormat="1">
      <c r="A22" s="47"/>
      <c r="B22" s="52"/>
      <c r="C22" s="53"/>
      <c r="D22" s="46">
        <f>'Data Table'!G30</f>
        <v>90</v>
      </c>
      <c r="E22" s="54"/>
      <c r="F22" s="55"/>
      <c r="G22" s="48"/>
      <c r="H22" s="48"/>
      <c r="I22" s="48"/>
      <c r="J22" s="48"/>
      <c r="K22" s="48"/>
      <c r="L22" s="48"/>
      <c r="M22" s="49"/>
      <c r="N22" s="49"/>
      <c r="O22" s="49"/>
      <c r="P22" s="49"/>
      <c r="Q22" s="49"/>
      <c r="R22" s="49"/>
      <c r="S22" s="48"/>
      <c r="T22" s="48"/>
      <c r="U22" s="48"/>
      <c r="V22" s="48"/>
    </row>
    <row r="23" spans="1:22" s="1" customFormat="1">
      <c r="A23" s="47"/>
      <c r="B23" s="35" t="s">
        <v>21</v>
      </c>
      <c r="C23" s="147" t="str">
        <f>"Target peak motor output is: "&amp;90+('Data Table'!M3/2)&amp;" degrees"</f>
        <v>Target peak motor output is: 90 degrees</v>
      </c>
      <c r="D23" s="148"/>
      <c r="E23" s="149"/>
      <c r="F23" s="55"/>
      <c r="G23" s="48"/>
      <c r="H23" s="48"/>
      <c r="I23" s="48"/>
      <c r="J23" s="48"/>
      <c r="K23" s="48"/>
      <c r="L23" s="48"/>
      <c r="M23" s="49"/>
      <c r="N23" s="49"/>
      <c r="O23" s="49"/>
      <c r="P23" s="49"/>
      <c r="Q23" s="49"/>
      <c r="R23" s="49"/>
      <c r="S23" s="48"/>
      <c r="T23" s="48"/>
      <c r="U23" s="48"/>
      <c r="V23" s="48"/>
    </row>
    <row r="24" spans="1:22" s="1" customFormat="1">
      <c r="A24" s="47"/>
      <c r="B24" s="44"/>
      <c r="C24" s="140" t="str">
        <f>"Actual peak motor output is: "&amp;D22&amp;" degrees"</f>
        <v>Actual peak motor output is: 90 degrees</v>
      </c>
      <c r="D24" s="141"/>
      <c r="E24" s="142"/>
      <c r="F24" s="55"/>
      <c r="G24" s="48"/>
      <c r="H24" s="48"/>
      <c r="I24" s="48"/>
      <c r="J24" s="48"/>
      <c r="K24" s="48"/>
      <c r="L24" s="48"/>
      <c r="M24" s="49"/>
      <c r="N24" s="49"/>
      <c r="O24" s="49"/>
      <c r="P24" s="49"/>
      <c r="Q24" s="49"/>
      <c r="R24" s="49"/>
      <c r="S24" s="48"/>
      <c r="T24" s="48"/>
      <c r="U24" s="48"/>
      <c r="V24" s="48"/>
    </row>
    <row r="25" spans="1:22" s="1" customFormat="1">
      <c r="A25" s="47"/>
      <c r="B25" s="44"/>
      <c r="C25" s="137" t="str">
        <f>IF('Data Table'!G30&gt;(120+'Data Table'!M3/3),"Greater gear reduction needed",IF('Data Table'!G30&lt;(60+2*'Data Table'!M3/3),"Less gear reduction needed","Gear reduction is approximately correct"))</f>
        <v>Gear reduction is approximately correct</v>
      </c>
      <c r="D25" s="138"/>
      <c r="E25" s="139"/>
      <c r="F25" s="55"/>
      <c r="G25" s="48"/>
      <c r="H25" s="48"/>
      <c r="I25" s="48"/>
      <c r="J25" s="48"/>
      <c r="K25" s="48"/>
      <c r="L25" s="48"/>
      <c r="M25" s="49"/>
      <c r="N25" s="49"/>
      <c r="O25" s="49"/>
      <c r="P25" s="49"/>
      <c r="Q25" s="49"/>
      <c r="R25" s="49"/>
      <c r="S25" s="48"/>
      <c r="T25" s="48"/>
      <c r="U25" s="48"/>
      <c r="V25" s="48"/>
    </row>
    <row r="26" spans="1:22" s="1" customFormat="1">
      <c r="A26" s="47"/>
      <c r="B26" s="44"/>
      <c r="C26" s="109" t="s">
        <v>81</v>
      </c>
      <c r="D26" s="105">
        <f>'Data Table'!H62</f>
        <v>28.097214977418279</v>
      </c>
      <c r="E26" s="107" t="s">
        <v>74</v>
      </c>
      <c r="F26" s="55"/>
      <c r="G26" s="48"/>
      <c r="H26" s="48"/>
      <c r="I26" s="48"/>
      <c r="J26" s="48"/>
      <c r="K26" s="48"/>
      <c r="L26" s="48"/>
      <c r="M26" s="49"/>
      <c r="N26" s="49"/>
      <c r="O26" s="49"/>
      <c r="P26" s="49"/>
      <c r="Q26" s="49"/>
      <c r="R26" s="49"/>
      <c r="S26" s="48"/>
      <c r="T26" s="48"/>
      <c r="U26" s="48"/>
      <c r="V26" s="48"/>
    </row>
    <row r="27" spans="1:22" s="1" customFormat="1" ht="12.75" customHeight="1">
      <c r="A27" s="47"/>
      <c r="B27" s="44"/>
      <c r="C27" s="109" t="s">
        <v>73</v>
      </c>
      <c r="D27" s="106">
        <f>'Data Table'!I62</f>
        <v>0.15672559151787424</v>
      </c>
      <c r="E27" s="107" t="s">
        <v>75</v>
      </c>
      <c r="F27" s="55"/>
      <c r="G27" s="48"/>
      <c r="H27" s="48"/>
      <c r="I27" s="48"/>
      <c r="J27" s="48"/>
      <c r="K27" s="48"/>
      <c r="L27" s="48"/>
      <c r="M27" s="49"/>
      <c r="N27" s="49"/>
      <c r="O27" s="49"/>
      <c r="P27" s="49"/>
      <c r="Q27" s="49"/>
      <c r="R27" s="49"/>
      <c r="S27" s="48"/>
      <c r="T27" s="48"/>
      <c r="U27" s="48"/>
      <c r="V27" s="48"/>
    </row>
    <row r="28" spans="1:22" s="1" customFormat="1">
      <c r="A28" s="47"/>
      <c r="B28" s="45"/>
      <c r="C28" s="110" t="s">
        <v>72</v>
      </c>
      <c r="D28" s="106">
        <f>'Data Table'!J62</f>
        <v>5.1033263157894737</v>
      </c>
      <c r="E28" s="108" t="s">
        <v>76</v>
      </c>
      <c r="F28" s="56"/>
      <c r="G28" s="48"/>
      <c r="H28" s="48"/>
      <c r="I28" s="48"/>
      <c r="J28" s="48"/>
      <c r="K28" s="48"/>
      <c r="L28" s="48"/>
      <c r="M28" s="49"/>
      <c r="N28" s="49"/>
      <c r="O28" s="49"/>
      <c r="P28" s="49"/>
      <c r="Q28" s="49"/>
      <c r="R28" s="49"/>
      <c r="S28" s="48"/>
      <c r="T28" s="48"/>
      <c r="U28" s="48"/>
      <c r="V28" s="48"/>
    </row>
    <row r="29" spans="1:22" s="1" customFormat="1" ht="13.5" customHeight="1">
      <c r="A29" s="47"/>
      <c r="B29" s="77" t="s">
        <v>77</v>
      </c>
      <c r="C29" s="67"/>
      <c r="D29" s="67"/>
      <c r="E29" s="67"/>
      <c r="F29" s="55"/>
      <c r="G29" s="127" t="s">
        <v>78</v>
      </c>
      <c r="H29" s="127"/>
      <c r="I29" s="127"/>
      <c r="J29" s="127"/>
      <c r="K29" s="127"/>
      <c r="L29" s="127"/>
      <c r="M29" s="49"/>
      <c r="N29" s="49"/>
      <c r="O29" s="49"/>
      <c r="P29" s="49"/>
      <c r="Q29" s="49"/>
      <c r="R29" s="49"/>
      <c r="S29" s="48"/>
      <c r="T29" s="48"/>
      <c r="U29" s="48"/>
      <c r="V29" s="48"/>
    </row>
    <row r="30" spans="1:22" s="1" customFormat="1">
      <c r="A30" s="47"/>
      <c r="B30" s="80" t="s">
        <v>37</v>
      </c>
      <c r="C30" s="68"/>
      <c r="D30" s="68"/>
      <c r="E30" s="68"/>
      <c r="F30" s="55"/>
      <c r="G30" s="49"/>
      <c r="H30" s="49"/>
      <c r="I30" s="49"/>
      <c r="J30" s="49"/>
      <c r="K30" s="49"/>
      <c r="L30" s="49"/>
      <c r="M30" s="49"/>
      <c r="N30" s="49"/>
      <c r="O30" s="49"/>
      <c r="P30" s="49"/>
      <c r="Q30" s="49"/>
      <c r="R30" s="49"/>
      <c r="S30" s="48"/>
      <c r="T30" s="48"/>
      <c r="U30" s="48"/>
      <c r="V30" s="48"/>
    </row>
    <row r="31" spans="1:22" s="1" customFormat="1">
      <c r="A31" s="47"/>
      <c r="B31" s="48"/>
      <c r="C31" s="48"/>
      <c r="D31" s="48"/>
      <c r="E31" s="48"/>
      <c r="F31" s="56"/>
      <c r="G31" s="49"/>
      <c r="H31" s="49"/>
      <c r="I31" s="49"/>
      <c r="J31" s="49"/>
      <c r="K31" s="49"/>
      <c r="L31" s="49"/>
      <c r="M31" s="49"/>
      <c r="N31" s="49"/>
      <c r="O31" s="49"/>
      <c r="P31" s="49"/>
      <c r="Q31" s="49"/>
      <c r="R31" s="49"/>
      <c r="S31" s="48"/>
      <c r="T31" s="48"/>
      <c r="U31" s="48"/>
      <c r="V31" s="48"/>
    </row>
    <row r="32" spans="1:22" s="1" customFormat="1">
      <c r="A32" s="47"/>
      <c r="B32" s="48"/>
      <c r="C32" s="49"/>
      <c r="D32" s="49"/>
      <c r="E32" s="49"/>
      <c r="F32" s="49"/>
      <c r="G32" s="49"/>
      <c r="H32" s="49"/>
      <c r="I32" s="49"/>
      <c r="J32" s="49"/>
      <c r="K32" s="49"/>
      <c r="L32" s="49"/>
      <c r="M32" s="49"/>
      <c r="N32" s="49"/>
      <c r="O32" s="49"/>
      <c r="P32" s="49"/>
      <c r="Q32" s="49"/>
      <c r="R32" s="49"/>
      <c r="S32" s="48"/>
      <c r="T32" s="48"/>
      <c r="U32" s="48"/>
      <c r="V32" s="48"/>
    </row>
    <row r="33" spans="1:22" s="1" customFormat="1">
      <c r="A33" s="47"/>
      <c r="B33" s="50"/>
      <c r="C33" s="49"/>
      <c r="D33" s="49"/>
      <c r="E33" s="49"/>
      <c r="F33" s="49"/>
      <c r="G33" s="49"/>
      <c r="H33" s="49"/>
      <c r="I33" s="49"/>
      <c r="J33" s="49"/>
      <c r="K33" s="49"/>
      <c r="L33" s="49"/>
      <c r="M33" s="49"/>
      <c r="N33" s="49"/>
      <c r="O33" s="49"/>
      <c r="P33" s="49"/>
      <c r="Q33" s="49"/>
      <c r="R33" s="49"/>
      <c r="S33" s="48"/>
      <c r="T33" s="48"/>
      <c r="U33" s="48"/>
      <c r="V33" s="48"/>
    </row>
    <row r="34" spans="1:22" s="1" customFormat="1">
      <c r="A34" s="47"/>
      <c r="B34" s="48"/>
      <c r="C34" s="49"/>
      <c r="D34" s="49"/>
      <c r="E34" s="49"/>
      <c r="F34" s="49"/>
      <c r="G34" s="49"/>
      <c r="H34" s="49"/>
      <c r="I34" s="49"/>
      <c r="J34" s="49"/>
      <c r="K34" s="49"/>
      <c r="L34" s="49"/>
      <c r="M34" s="49"/>
      <c r="N34" s="49"/>
      <c r="O34" s="49"/>
      <c r="P34" s="49"/>
      <c r="Q34" s="49"/>
      <c r="R34" s="49"/>
      <c r="S34" s="48"/>
      <c r="T34" s="48"/>
      <c r="U34" s="48"/>
      <c r="V34" s="48"/>
    </row>
    <row r="35" spans="1:22" s="1" customFormat="1">
      <c r="A35" s="47"/>
      <c r="B35" s="48"/>
      <c r="C35" s="49"/>
      <c r="D35" s="49"/>
      <c r="E35" s="49"/>
      <c r="F35" s="49"/>
      <c r="G35" s="64"/>
      <c r="H35" s="64"/>
      <c r="I35" s="64"/>
      <c r="J35" s="64"/>
      <c r="K35" s="64"/>
      <c r="L35" s="64"/>
      <c r="M35" s="49"/>
      <c r="N35" s="49"/>
      <c r="O35" s="49"/>
      <c r="P35" s="49"/>
      <c r="Q35" s="49"/>
      <c r="R35" s="49"/>
      <c r="S35" s="48"/>
      <c r="T35" s="48"/>
      <c r="U35" s="48"/>
      <c r="V35" s="48"/>
    </row>
    <row r="36" spans="1:22" s="1" customFormat="1" ht="13.5" customHeight="1">
      <c r="A36" s="47"/>
      <c r="B36" s="48"/>
      <c r="C36" s="48"/>
      <c r="D36" s="48"/>
      <c r="E36" s="48"/>
      <c r="F36" s="55"/>
      <c r="G36" s="65"/>
      <c r="H36" s="65"/>
      <c r="I36" s="65"/>
      <c r="J36" s="65"/>
      <c r="K36" s="65"/>
      <c r="L36" s="65"/>
      <c r="M36" s="49"/>
      <c r="N36" s="49"/>
      <c r="O36" s="49"/>
      <c r="P36" s="49"/>
      <c r="Q36" s="49"/>
      <c r="R36" s="49"/>
      <c r="S36" s="48"/>
      <c r="T36" s="48"/>
      <c r="U36" s="48"/>
      <c r="V36" s="48"/>
    </row>
    <row r="37" spans="1:22" s="1" customFormat="1">
      <c r="A37" s="47"/>
      <c r="B37" s="48"/>
      <c r="C37" s="48"/>
      <c r="D37" s="48"/>
      <c r="E37" s="48"/>
      <c r="F37" s="55"/>
      <c r="G37" s="48"/>
      <c r="H37" s="48"/>
      <c r="I37" s="48"/>
      <c r="J37" s="48"/>
      <c r="K37" s="48"/>
      <c r="L37" s="48"/>
      <c r="M37" s="49"/>
      <c r="N37" s="49"/>
      <c r="O37" s="49"/>
      <c r="P37" s="49"/>
      <c r="Q37" s="49"/>
      <c r="R37" s="49"/>
      <c r="S37" s="48"/>
      <c r="T37" s="48"/>
      <c r="U37" s="48"/>
      <c r="V37" s="48"/>
    </row>
    <row r="38" spans="1:22">
      <c r="A38" s="48"/>
      <c r="B38" s="48"/>
      <c r="C38" s="48"/>
      <c r="D38" s="48"/>
      <c r="E38" s="51"/>
      <c r="F38" s="48"/>
      <c r="G38" s="48"/>
      <c r="H38" s="48"/>
      <c r="I38" s="48"/>
      <c r="J38" s="48"/>
      <c r="K38" s="48"/>
      <c r="L38" s="48"/>
      <c r="M38" s="48"/>
      <c r="N38" s="48"/>
      <c r="O38" s="48"/>
      <c r="P38" s="48"/>
      <c r="Q38" s="48"/>
      <c r="R38" s="48"/>
      <c r="S38" s="48"/>
      <c r="T38" s="48"/>
      <c r="U38" s="48"/>
      <c r="V38" s="48"/>
    </row>
    <row r="39" spans="1:22">
      <c r="A39" s="48"/>
      <c r="B39" s="48"/>
      <c r="C39" s="48"/>
      <c r="D39" s="48"/>
      <c r="E39" s="48"/>
      <c r="F39" s="48"/>
      <c r="G39" s="48"/>
      <c r="H39" s="48"/>
      <c r="I39" s="48"/>
      <c r="J39" s="48"/>
      <c r="K39" s="48"/>
      <c r="L39" s="48"/>
      <c r="M39" s="48"/>
      <c r="N39" s="48"/>
      <c r="O39" s="48"/>
      <c r="P39" s="48"/>
      <c r="Q39" s="48"/>
      <c r="R39" s="48"/>
      <c r="S39" s="48"/>
      <c r="T39" s="48"/>
      <c r="U39" s="48"/>
      <c r="V39" s="48"/>
    </row>
    <row r="40" spans="1:22">
      <c r="A40" s="48"/>
      <c r="B40" s="48"/>
      <c r="C40" s="48"/>
      <c r="D40" s="48"/>
      <c r="E40" s="48"/>
      <c r="F40" s="48"/>
      <c r="G40" s="48"/>
      <c r="H40" s="48"/>
      <c r="I40" s="48"/>
      <c r="J40" s="48"/>
      <c r="K40" s="48"/>
      <c r="L40" s="48"/>
      <c r="M40" s="48"/>
      <c r="N40" s="48"/>
      <c r="O40" s="48"/>
      <c r="P40" s="48"/>
      <c r="Q40" s="48"/>
      <c r="R40" s="48"/>
      <c r="S40" s="48"/>
      <c r="T40" s="48"/>
      <c r="U40" s="48"/>
      <c r="V40" s="48"/>
    </row>
    <row r="41" spans="1:22">
      <c r="A41" s="48"/>
      <c r="B41" s="48"/>
      <c r="C41" s="48"/>
      <c r="D41" s="48"/>
      <c r="E41" s="48"/>
      <c r="F41" s="48"/>
      <c r="G41" s="48"/>
      <c r="H41" s="48"/>
      <c r="I41" s="48"/>
      <c r="J41" s="48"/>
      <c r="K41" s="48"/>
      <c r="L41" s="48"/>
      <c r="M41" s="48"/>
      <c r="N41" s="48"/>
      <c r="O41" s="48"/>
      <c r="P41" s="48"/>
      <c r="Q41" s="48"/>
      <c r="R41" s="48"/>
      <c r="S41" s="48"/>
      <c r="T41" s="48"/>
      <c r="U41" s="48"/>
      <c r="V41" s="48"/>
    </row>
    <row r="42" spans="1:22">
      <c r="A42" s="48"/>
      <c r="B42" s="48"/>
      <c r="C42" s="48"/>
      <c r="D42" s="48"/>
      <c r="E42" s="48"/>
      <c r="F42" s="48"/>
      <c r="G42" s="48"/>
      <c r="H42" s="48"/>
      <c r="I42" s="48"/>
      <c r="J42" s="48"/>
      <c r="K42" s="48"/>
      <c r="L42" s="48"/>
      <c r="M42" s="48"/>
      <c r="N42" s="48"/>
      <c r="O42" s="48"/>
      <c r="P42" s="48"/>
      <c r="Q42" s="48"/>
      <c r="R42" s="48"/>
      <c r="S42" s="48"/>
      <c r="T42" s="48"/>
      <c r="U42" s="48"/>
      <c r="V42" s="48"/>
    </row>
    <row r="43" spans="1:22">
      <c r="A43" s="48"/>
      <c r="B43" s="48"/>
      <c r="C43" s="48"/>
      <c r="D43" s="48"/>
      <c r="E43" s="48"/>
      <c r="F43" s="48"/>
      <c r="G43" s="48"/>
      <c r="H43" s="48"/>
      <c r="I43" s="48"/>
      <c r="J43" s="48"/>
      <c r="K43" s="48"/>
      <c r="L43" s="48"/>
      <c r="M43" s="48"/>
      <c r="N43" s="48"/>
      <c r="O43" s="48"/>
      <c r="P43" s="48"/>
      <c r="Q43" s="48"/>
      <c r="R43" s="48"/>
      <c r="S43" s="48"/>
      <c r="T43" s="48"/>
      <c r="U43" s="48"/>
      <c r="V43" s="48"/>
    </row>
    <row r="44" spans="1:22">
      <c r="A44" s="48"/>
      <c r="B44" s="48"/>
      <c r="C44" s="48"/>
      <c r="D44" s="48"/>
      <c r="E44" s="48"/>
      <c r="F44" s="64"/>
      <c r="G44" s="64"/>
      <c r="H44" s="48"/>
      <c r="I44" s="48"/>
      <c r="J44" s="48"/>
      <c r="K44" s="48"/>
      <c r="L44" s="48"/>
      <c r="M44" s="48"/>
      <c r="N44" s="48"/>
      <c r="O44" s="48"/>
      <c r="P44" s="48"/>
      <c r="Q44" s="48"/>
      <c r="R44" s="48"/>
      <c r="S44" s="48"/>
      <c r="T44" s="48"/>
      <c r="U44" s="48"/>
      <c r="V44" s="48"/>
    </row>
    <row r="45" spans="1:22">
      <c r="A45" s="48"/>
      <c r="B45" s="48"/>
      <c r="C45" s="48"/>
      <c r="D45" s="48"/>
      <c r="E45" s="48"/>
      <c r="F45" s="65"/>
      <c r="G45" s="65"/>
      <c r="H45" s="48"/>
      <c r="I45" s="66"/>
      <c r="J45" s="48"/>
      <c r="K45" s="48"/>
      <c r="L45" s="48"/>
      <c r="M45" s="48"/>
      <c r="N45" s="48"/>
      <c r="O45" s="48"/>
      <c r="P45" s="48"/>
      <c r="Q45" s="48"/>
      <c r="R45" s="48"/>
      <c r="S45" s="48"/>
      <c r="T45" s="48"/>
      <c r="U45" s="48"/>
      <c r="V45" s="48"/>
    </row>
    <row r="46" spans="1:22">
      <c r="A46" s="48"/>
      <c r="B46" s="48"/>
      <c r="C46" s="48"/>
      <c r="D46" s="48"/>
      <c r="E46" s="48"/>
      <c r="F46" s="48"/>
      <c r="G46" s="48"/>
      <c r="H46" s="48"/>
      <c r="I46" s="48"/>
      <c r="J46" s="48"/>
      <c r="K46" s="48"/>
      <c r="L46" s="48"/>
      <c r="M46" s="48"/>
      <c r="N46" s="48"/>
      <c r="O46" s="48"/>
      <c r="P46" s="48"/>
      <c r="Q46" s="48"/>
      <c r="R46" s="48"/>
      <c r="S46" s="48"/>
      <c r="T46" s="48"/>
      <c r="U46" s="48"/>
      <c r="V46" s="48"/>
    </row>
    <row r="47" spans="1:22">
      <c r="A47" s="48"/>
      <c r="B47" s="48"/>
      <c r="C47" s="48"/>
      <c r="D47" s="48"/>
      <c r="E47" s="48"/>
      <c r="F47" s="48"/>
      <c r="G47" s="49"/>
      <c r="H47" s="49"/>
      <c r="I47" s="49"/>
      <c r="J47" s="49"/>
      <c r="K47" s="49"/>
      <c r="L47" s="49"/>
      <c r="M47" s="48"/>
      <c r="N47" s="48"/>
      <c r="O47" s="48"/>
      <c r="P47" s="48"/>
      <c r="Q47" s="48"/>
      <c r="R47" s="48"/>
      <c r="S47" s="48"/>
      <c r="T47" s="48"/>
      <c r="U47" s="48"/>
      <c r="V47" s="48"/>
    </row>
    <row r="48" spans="1:22">
      <c r="A48" s="48"/>
      <c r="B48" s="48"/>
      <c r="C48" s="48"/>
      <c r="D48" s="48"/>
      <c r="E48" s="48"/>
      <c r="F48" s="48"/>
      <c r="G48" s="48"/>
      <c r="H48" s="48"/>
      <c r="I48" s="48"/>
      <c r="J48" s="48"/>
      <c r="K48" s="48"/>
      <c r="L48" s="48"/>
      <c r="M48" s="48"/>
      <c r="N48" s="48"/>
      <c r="O48" s="48"/>
      <c r="P48" s="48"/>
      <c r="Q48" s="48"/>
      <c r="R48" s="48"/>
      <c r="S48" s="48"/>
      <c r="T48" s="48"/>
      <c r="U48" s="48"/>
      <c r="V48" s="48"/>
    </row>
    <row r="49" spans="1:22">
      <c r="A49" s="48"/>
      <c r="B49" s="48"/>
      <c r="C49" s="48"/>
      <c r="D49" s="48"/>
      <c r="E49" s="48"/>
      <c r="F49" s="48"/>
      <c r="G49" s="48"/>
      <c r="H49" s="48"/>
      <c r="I49" s="48"/>
      <c r="J49" s="48"/>
      <c r="K49" s="48"/>
      <c r="L49" s="48"/>
      <c r="M49" s="48"/>
      <c r="N49" s="48"/>
      <c r="O49" s="48"/>
      <c r="P49" s="48"/>
      <c r="Q49" s="48"/>
      <c r="R49" s="48"/>
      <c r="S49" s="48"/>
      <c r="T49" s="48"/>
      <c r="U49" s="48"/>
      <c r="V49" s="48"/>
    </row>
    <row r="50" spans="1:22">
      <c r="A50" s="48"/>
      <c r="B50" s="48"/>
      <c r="C50" s="48"/>
      <c r="D50" s="48"/>
      <c r="E50" s="48"/>
      <c r="F50" s="48"/>
      <c r="G50" s="48"/>
      <c r="H50" s="48"/>
      <c r="I50" s="48"/>
      <c r="J50" s="48"/>
      <c r="K50" s="48"/>
      <c r="L50" s="48"/>
      <c r="M50" s="48"/>
      <c r="N50" s="48"/>
      <c r="O50" s="48"/>
      <c r="P50" s="48"/>
      <c r="Q50" s="48"/>
      <c r="R50" s="48"/>
      <c r="S50" s="48"/>
      <c r="T50" s="48"/>
      <c r="U50" s="48"/>
      <c r="V50" s="48"/>
    </row>
    <row r="51" spans="1:22">
      <c r="A51" s="48"/>
      <c r="B51" s="48"/>
      <c r="C51" s="48"/>
      <c r="D51" s="48"/>
      <c r="E51" s="48"/>
      <c r="F51" s="48"/>
      <c r="G51" s="48"/>
      <c r="H51" s="48"/>
      <c r="I51" s="48"/>
      <c r="J51" s="48"/>
      <c r="K51" s="48"/>
      <c r="L51" s="48"/>
      <c r="M51" s="48"/>
      <c r="N51" s="48"/>
      <c r="O51" s="48"/>
      <c r="P51" s="48"/>
      <c r="Q51" s="48"/>
      <c r="R51" s="48"/>
      <c r="S51" s="48"/>
      <c r="T51" s="48"/>
      <c r="U51" s="48"/>
      <c r="V51" s="48"/>
    </row>
    <row r="52" spans="1:22">
      <c r="A52" s="48"/>
      <c r="B52" s="48"/>
      <c r="C52" s="48"/>
      <c r="D52" s="48"/>
      <c r="E52" s="48"/>
      <c r="F52" s="48"/>
      <c r="G52" s="48"/>
      <c r="H52" s="48"/>
      <c r="I52" s="48"/>
      <c r="J52" s="48"/>
      <c r="K52" s="48"/>
      <c r="L52" s="48"/>
      <c r="M52" s="48"/>
      <c r="N52" s="48"/>
      <c r="O52" s="48"/>
      <c r="P52" s="48"/>
      <c r="Q52" s="48"/>
      <c r="R52" s="48"/>
      <c r="S52" s="48"/>
      <c r="T52" s="48"/>
      <c r="U52" s="48"/>
      <c r="V52" s="48"/>
    </row>
    <row r="53" spans="1:22">
      <c r="A53" s="48"/>
      <c r="B53" s="48"/>
      <c r="C53" s="48"/>
      <c r="D53" s="48"/>
      <c r="E53" s="48"/>
      <c r="F53" s="48"/>
      <c r="G53" s="48"/>
      <c r="H53" s="48"/>
      <c r="I53" s="48"/>
      <c r="J53" s="48"/>
      <c r="K53" s="48"/>
      <c r="L53" s="48"/>
      <c r="M53" s="48"/>
      <c r="N53" s="48"/>
      <c r="O53" s="48"/>
      <c r="P53" s="48"/>
      <c r="Q53" s="48"/>
      <c r="R53" s="48"/>
      <c r="S53" s="48"/>
      <c r="T53" s="48"/>
      <c r="U53" s="48"/>
      <c r="V53" s="48"/>
    </row>
    <row r="54" spans="1:22">
      <c r="A54" s="48"/>
      <c r="B54" s="48"/>
      <c r="C54" s="48"/>
      <c r="D54" s="48"/>
      <c r="E54" s="48"/>
      <c r="F54" s="48"/>
      <c r="G54" s="48"/>
      <c r="H54" s="48"/>
      <c r="I54" s="48"/>
      <c r="J54" s="48"/>
      <c r="K54" s="48"/>
      <c r="L54" s="48"/>
      <c r="M54" s="48"/>
      <c r="N54" s="48"/>
      <c r="O54" s="48"/>
      <c r="P54" s="48"/>
      <c r="Q54" s="48"/>
      <c r="R54" s="48"/>
      <c r="S54" s="48"/>
      <c r="T54" s="48"/>
      <c r="U54" s="48"/>
      <c r="V54" s="48"/>
    </row>
    <row r="55" spans="1:22">
      <c r="A55" s="48"/>
      <c r="B55" s="48"/>
      <c r="C55" s="48"/>
      <c r="D55" s="48"/>
      <c r="E55" s="48"/>
      <c r="F55" s="48"/>
      <c r="G55" s="48"/>
      <c r="H55" s="48"/>
      <c r="I55" s="48"/>
      <c r="J55" s="48"/>
      <c r="K55" s="48"/>
      <c r="L55" s="48"/>
      <c r="M55" s="48"/>
      <c r="N55" s="48"/>
      <c r="O55" s="48"/>
      <c r="P55" s="48"/>
      <c r="Q55" s="48"/>
      <c r="R55" s="48"/>
      <c r="S55" s="48"/>
      <c r="T55" s="48"/>
      <c r="U55" s="48"/>
      <c r="V55" s="48"/>
    </row>
    <row r="56" spans="1:22">
      <c r="A56" s="48"/>
      <c r="B56" s="48"/>
      <c r="C56" s="48"/>
      <c r="D56" s="48"/>
      <c r="E56" s="48"/>
      <c r="F56" s="48"/>
      <c r="G56" s="48"/>
      <c r="H56" s="48"/>
      <c r="I56" s="48"/>
      <c r="J56" s="48"/>
      <c r="K56" s="48"/>
      <c r="L56" s="48"/>
      <c r="M56" s="48"/>
      <c r="N56" s="48"/>
      <c r="O56" s="48"/>
      <c r="P56" s="48"/>
      <c r="Q56" s="48"/>
      <c r="R56" s="48"/>
      <c r="S56" s="48"/>
      <c r="T56" s="48"/>
      <c r="U56" s="48"/>
      <c r="V56" s="48"/>
    </row>
    <row r="57" spans="1:22">
      <c r="A57" s="48"/>
      <c r="B57" s="48"/>
      <c r="C57" s="48"/>
      <c r="D57" s="48"/>
      <c r="E57" s="48"/>
      <c r="F57" s="48"/>
      <c r="G57" s="48"/>
      <c r="H57" s="48"/>
      <c r="I57" s="48"/>
      <c r="J57" s="48"/>
      <c r="K57" s="48"/>
      <c r="L57" s="48"/>
      <c r="M57" s="48"/>
      <c r="N57" s="48"/>
      <c r="O57" s="48"/>
      <c r="P57" s="48"/>
      <c r="Q57" s="48"/>
      <c r="R57" s="48"/>
      <c r="S57" s="48"/>
      <c r="T57" s="48"/>
      <c r="U57" s="48"/>
      <c r="V57" s="48"/>
    </row>
    <row r="58" spans="1:22">
      <c r="A58" s="48"/>
      <c r="B58" s="48"/>
      <c r="C58" s="48"/>
      <c r="D58" s="48"/>
      <c r="E58" s="48"/>
      <c r="F58" s="48"/>
      <c r="G58" s="48"/>
      <c r="H58" s="48"/>
      <c r="I58" s="48"/>
      <c r="J58" s="48"/>
      <c r="K58" s="48"/>
      <c r="L58" s="48"/>
      <c r="M58" s="48"/>
      <c r="N58" s="48"/>
      <c r="O58" s="48"/>
      <c r="P58" s="48"/>
      <c r="Q58" s="48"/>
      <c r="R58" s="48"/>
      <c r="S58" s="48"/>
      <c r="T58" s="48"/>
      <c r="U58" s="48"/>
      <c r="V58" s="48"/>
    </row>
    <row r="59" spans="1:22">
      <c r="A59" s="48"/>
      <c r="B59" s="48"/>
      <c r="C59" s="48"/>
      <c r="D59" s="48"/>
      <c r="E59" s="48"/>
      <c r="F59" s="48"/>
      <c r="G59" s="48"/>
      <c r="H59" s="48"/>
      <c r="I59" s="48"/>
      <c r="J59" s="48"/>
      <c r="K59" s="48"/>
      <c r="L59" s="48"/>
      <c r="M59" s="48"/>
      <c r="N59" s="48"/>
      <c r="O59" s="48"/>
      <c r="P59" s="48"/>
      <c r="Q59" s="48"/>
      <c r="R59" s="48"/>
      <c r="S59" s="48"/>
      <c r="T59" s="48"/>
      <c r="U59" s="48"/>
      <c r="V59" s="48"/>
    </row>
    <row r="60" spans="1:22">
      <c r="A60" s="48"/>
      <c r="B60" s="48"/>
      <c r="C60" s="48"/>
      <c r="D60" s="48"/>
      <c r="E60" s="48"/>
      <c r="F60" s="48"/>
      <c r="G60" s="48"/>
      <c r="H60" s="48"/>
      <c r="I60" s="48"/>
      <c r="J60" s="48"/>
      <c r="K60" s="48"/>
      <c r="L60" s="48"/>
      <c r="M60" s="48"/>
      <c r="N60" s="48"/>
      <c r="O60" s="48"/>
      <c r="P60" s="48"/>
      <c r="Q60" s="48"/>
      <c r="R60" s="48"/>
      <c r="S60" s="48"/>
      <c r="T60" s="48"/>
      <c r="U60" s="48"/>
      <c r="V60" s="48"/>
    </row>
    <row r="61" spans="1:22">
      <c r="A61" s="48"/>
      <c r="B61" s="48"/>
      <c r="C61" s="48"/>
      <c r="D61" s="48"/>
      <c r="E61" s="48"/>
      <c r="F61" s="48"/>
      <c r="G61" s="48"/>
      <c r="H61" s="48"/>
      <c r="I61" s="48"/>
      <c r="J61" s="48"/>
      <c r="K61" s="48"/>
      <c r="L61" s="48"/>
      <c r="M61" s="48"/>
      <c r="N61" s="48"/>
      <c r="O61" s="48"/>
      <c r="P61" s="48"/>
      <c r="Q61" s="48"/>
      <c r="R61" s="48"/>
      <c r="S61" s="48"/>
      <c r="T61" s="48"/>
      <c r="U61" s="48"/>
      <c r="V61" s="48"/>
    </row>
    <row r="62" spans="1:22">
      <c r="A62" s="48"/>
      <c r="B62" s="48"/>
      <c r="C62" s="48"/>
      <c r="D62" s="48"/>
      <c r="E62" s="48"/>
      <c r="F62" s="48"/>
      <c r="G62" s="48"/>
      <c r="H62" s="48"/>
      <c r="I62" s="48"/>
      <c r="J62" s="48"/>
      <c r="K62" s="48"/>
      <c r="L62" s="48"/>
      <c r="M62" s="48"/>
      <c r="N62" s="48"/>
      <c r="O62" s="48"/>
      <c r="P62" s="48"/>
      <c r="Q62" s="48"/>
      <c r="R62" s="48"/>
      <c r="S62" s="48"/>
      <c r="T62" s="48"/>
      <c r="U62" s="48"/>
      <c r="V62" s="48"/>
    </row>
  </sheetData>
  <sheetProtection sheet="1" objects="1" scenarios="1" selectLockedCells="1"/>
  <mergeCells count="11">
    <mergeCell ref="G29:L29"/>
    <mergeCell ref="B2:L2"/>
    <mergeCell ref="B4:B8"/>
    <mergeCell ref="B10:B11"/>
    <mergeCell ref="K4:L4"/>
    <mergeCell ref="B20:B21"/>
    <mergeCell ref="C25:E25"/>
    <mergeCell ref="C24:E24"/>
    <mergeCell ref="B13:B18"/>
    <mergeCell ref="C9:E9"/>
    <mergeCell ref="C23:E23"/>
  </mergeCells>
  <phoneticPr fontId="0" type="noConversion"/>
  <conditionalFormatting sqref="C25:E25">
    <cfRule type="expression" dxfId="1" priority="4" stopIfTrue="1">
      <formula>$C$25="Gear reduction is approximately correct"</formula>
    </cfRule>
  </conditionalFormatting>
  <hyperlinks>
    <hyperlink ref="B45:G45" r:id="rId1" display="Run Amok Combat Robotics"/>
    <hyperlink ref="B30" r:id="rId2"/>
  </hyperlinks>
  <printOptions horizontalCentered="1" verticalCentered="1"/>
  <pageMargins left="0.5" right="0.5" top="1" bottom="1" header="0.5" footer="0.5"/>
  <pageSetup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dimension ref="A1:R63"/>
  <sheetViews>
    <sheetView workbookViewId="0">
      <selection activeCell="M13" sqref="M13"/>
    </sheetView>
  </sheetViews>
  <sheetFormatPr defaultRowHeight="12.75"/>
  <cols>
    <col min="1" max="1" width="7.42578125" bestFit="1" customWidth="1"/>
    <col min="2" max="2" width="13.140625" bestFit="1" customWidth="1"/>
    <col min="3" max="3" width="9.5703125" customWidth="1"/>
    <col min="5" max="5" width="7.42578125" bestFit="1" customWidth="1"/>
    <col min="6" max="7" width="10.5703125" customWidth="1"/>
    <col min="8" max="9" width="9.5703125" customWidth="1"/>
    <col min="10" max="10" width="8" customWidth="1"/>
    <col min="12" max="12" width="9" bestFit="1" customWidth="1"/>
    <col min="13" max="13" width="9.5703125" bestFit="1" customWidth="1"/>
  </cols>
  <sheetData>
    <row r="1" spans="1:18">
      <c r="B1" s="31" t="s">
        <v>25</v>
      </c>
      <c r="C1" s="31" t="s">
        <v>26</v>
      </c>
      <c r="D1" s="31" t="s">
        <v>28</v>
      </c>
    </row>
    <row r="2" spans="1:18">
      <c r="B2" s="29">
        <f>(((Calculations!$D$4/Calculations!$D$6)*0.105)/(Calculations!$D$8*Calculations!$D$6))*Calculations!$D$20</f>
        <v>0.15340419922794463</v>
      </c>
      <c r="C2" s="30">
        <f>Calculations!D4/Calculations!D6</f>
        <v>507.89473684210526</v>
      </c>
      <c r="D2" s="71">
        <f>Calculations!$D$20</f>
        <v>4.8239999999999998E-2</v>
      </c>
      <c r="F2" s="173" t="s">
        <v>46</v>
      </c>
      <c r="G2" s="173"/>
      <c r="H2" s="173"/>
      <c r="I2" s="173"/>
      <c r="J2" s="173"/>
      <c r="K2" s="173"/>
      <c r="M2" s="170" t="s">
        <v>47</v>
      </c>
      <c r="N2" s="171"/>
      <c r="O2" s="171"/>
      <c r="P2" s="171"/>
      <c r="Q2" s="171"/>
      <c r="R2" s="172"/>
    </row>
    <row r="3" spans="1:18">
      <c r="F3" s="167" t="s">
        <v>44</v>
      </c>
      <c r="G3" s="167" t="s">
        <v>45</v>
      </c>
      <c r="H3" s="161" t="s">
        <v>29</v>
      </c>
      <c r="I3" s="161" t="s">
        <v>24</v>
      </c>
      <c r="J3" s="169" t="s">
        <v>69</v>
      </c>
      <c r="K3" s="161" t="s">
        <v>27</v>
      </c>
      <c r="L3" s="89"/>
      <c r="M3" s="93">
        <f>180-Calculations!D7</f>
        <v>0</v>
      </c>
      <c r="N3" s="163" t="s">
        <v>56</v>
      </c>
      <c r="O3" s="151"/>
      <c r="P3" s="151"/>
      <c r="Q3" s="151"/>
      <c r="R3" s="152"/>
    </row>
    <row r="4" spans="1:18">
      <c r="A4" s="31" t="s">
        <v>27</v>
      </c>
      <c r="B4" s="31" t="s">
        <v>24</v>
      </c>
      <c r="C4" s="31" t="s">
        <v>0</v>
      </c>
      <c r="D4" s="31" t="s">
        <v>29</v>
      </c>
      <c r="F4" s="168"/>
      <c r="G4" s="168"/>
      <c r="H4" s="162"/>
      <c r="I4" s="162"/>
      <c r="J4" s="168"/>
      <c r="K4" s="162"/>
      <c r="L4" s="85"/>
      <c r="M4" s="94">
        <f>Calculations!D10*9.8*COS(RADIANS(M3))</f>
        <v>4.9000000000000004</v>
      </c>
      <c r="N4" s="163" t="s">
        <v>48</v>
      </c>
      <c r="O4" s="151"/>
      <c r="P4" s="151"/>
      <c r="Q4" s="151"/>
      <c r="R4" s="152"/>
    </row>
    <row r="5" spans="1:18">
      <c r="A5" s="32">
        <v>0</v>
      </c>
      <c r="B5" s="71">
        <f t="shared" ref="B5:B11" si="0">-($B$2*LN(1-A5))</f>
        <v>0</v>
      </c>
      <c r="C5" s="81">
        <f t="shared" ref="C5:C11" si="1">$C$2*A5</f>
        <v>0</v>
      </c>
      <c r="D5" s="72">
        <f t="shared" ref="D5:D11" si="2">0.5*$D$2*(C5*0.105)^2</f>
        <v>0</v>
      </c>
      <c r="F5" s="74">
        <v>0</v>
      </c>
      <c r="G5" s="73">
        <f>M3</f>
        <v>0</v>
      </c>
      <c r="H5" s="33">
        <f>D5</f>
        <v>0</v>
      </c>
      <c r="I5" s="88">
        <f>B5</f>
        <v>0</v>
      </c>
      <c r="J5" s="104">
        <v>0</v>
      </c>
      <c r="K5" s="32">
        <f>A5</f>
        <v>0</v>
      </c>
      <c r="L5" s="86"/>
      <c r="M5" s="95">
        <f>Calculations!D14</f>
        <v>0.3</v>
      </c>
      <c r="N5" s="163" t="s">
        <v>49</v>
      </c>
      <c r="O5" s="151"/>
      <c r="P5" s="151"/>
      <c r="Q5" s="151"/>
      <c r="R5" s="152"/>
    </row>
    <row r="6" spans="1:18">
      <c r="A6" s="32">
        <v>0.02</v>
      </c>
      <c r="B6" s="71">
        <f t="shared" si="0"/>
        <v>3.0991801382806109E-3</v>
      </c>
      <c r="C6" s="81">
        <f t="shared" si="1"/>
        <v>10.157894736842106</v>
      </c>
      <c r="D6" s="72">
        <f t="shared" si="2"/>
        <v>2.7438686501385038E-2</v>
      </c>
      <c r="F6" s="74">
        <f>(B6-B5)*3*(C6+C5)</f>
        <v>9.4443436845498621E-2</v>
      </c>
      <c r="G6" s="74">
        <f t="shared" ref="G6:G11" si="3">G5+F6</f>
        <v>9.4443436845498621E-2</v>
      </c>
      <c r="H6" s="33">
        <f t="shared" ref="H6:H11" si="4">IF($G5&lt;180,D6,"---")</f>
        <v>2.7438686501385038E-2</v>
      </c>
      <c r="I6" s="88">
        <f>B6</f>
        <v>3.0991801382806109E-3</v>
      </c>
      <c r="J6" s="104">
        <f>IF($G6&lt;180,3.14*Calculations!$D$14*'Data Table'!C6/60,"---")</f>
        <v>0.15947894736842105</v>
      </c>
      <c r="K6" s="32">
        <f t="shared" ref="K6:K60" si="5">A6</f>
        <v>0.02</v>
      </c>
      <c r="L6" s="86"/>
      <c r="M6" s="96">
        <f>M4*M5/Calculations!D6</f>
        <v>3.8684210526315786E-2</v>
      </c>
      <c r="N6" s="163" t="s">
        <v>50</v>
      </c>
      <c r="O6" s="151"/>
      <c r="P6" s="151"/>
      <c r="Q6" s="151"/>
      <c r="R6" s="152"/>
    </row>
    <row r="7" spans="1:18" ht="13.5" thickBot="1">
      <c r="A7" s="32">
        <v>0.04</v>
      </c>
      <c r="B7" s="71">
        <f t="shared" si="0"/>
        <v>6.2622653802672876E-3</v>
      </c>
      <c r="C7" s="81">
        <f t="shared" si="1"/>
        <v>20.315789473684212</v>
      </c>
      <c r="D7" s="72">
        <f t="shared" si="2"/>
        <v>0.10975474600554015</v>
      </c>
      <c r="F7" s="74">
        <f t="shared" ref="F7:F55" si="6">(B7-B6)*3*(C7+C6)</f>
        <v>0.28917258238583465</v>
      </c>
      <c r="G7" s="74">
        <f t="shared" si="3"/>
        <v>0.38361601923133326</v>
      </c>
      <c r="H7" s="33">
        <f t="shared" si="4"/>
        <v>0.10975474600554015</v>
      </c>
      <c r="I7" s="88">
        <f>B7</f>
        <v>6.2622653802672876E-3</v>
      </c>
      <c r="J7" s="104">
        <f>IF($G7&lt;180,3.14*Calculations!$D$14*'Data Table'!C7/60,"---")</f>
        <v>0.31895789473684211</v>
      </c>
      <c r="K7" s="32">
        <f t="shared" si="5"/>
        <v>0.04</v>
      </c>
      <c r="L7" s="86"/>
      <c r="M7" s="99">
        <f>Calculations!D5-'Data Table'!M6</f>
        <v>0.44131578947368422</v>
      </c>
      <c r="N7" s="164" t="s">
        <v>51</v>
      </c>
      <c r="O7" s="165"/>
      <c r="P7" s="165"/>
      <c r="Q7" s="165"/>
      <c r="R7" s="166"/>
    </row>
    <row r="8" spans="1:18">
      <c r="A8" s="32">
        <v>0.06</v>
      </c>
      <c r="B8" s="71">
        <f t="shared" si="0"/>
        <v>9.4919467592790054E-3</v>
      </c>
      <c r="C8" s="81">
        <f t="shared" si="1"/>
        <v>30.473684210526315</v>
      </c>
      <c r="D8" s="72">
        <f t="shared" si="2"/>
        <v>0.24694817851246534</v>
      </c>
      <c r="F8" s="74">
        <f t="shared" si="6"/>
        <v>0.4921014522231012</v>
      </c>
      <c r="G8" s="74">
        <f t="shared" si="3"/>
        <v>0.87571747145443446</v>
      </c>
      <c r="H8" s="33">
        <f t="shared" si="4"/>
        <v>0.24694817851246534</v>
      </c>
      <c r="I8" s="88">
        <f>IF($G7&lt;180,B8,"---")</f>
        <v>9.4919467592790054E-3</v>
      </c>
      <c r="J8" s="104">
        <f>IF($G8&lt;180,3.14*Calculations!$D$14*'Data Table'!C8/60,"---")</f>
        <v>0.4784368421052631</v>
      </c>
      <c r="K8" s="32">
        <f t="shared" si="5"/>
        <v>0.06</v>
      </c>
      <c r="L8" s="86"/>
      <c r="M8" s="97">
        <f>VLOOKUP(90,'Data Table'!$G$3:$K$54,5)</f>
        <v>0.5</v>
      </c>
      <c r="N8" s="158" t="str">
        <f>"Motor is at about "&amp;M8*200&amp;"% of target RPM at 90°"</f>
        <v>Motor is at about 100% of target RPM at 90°</v>
      </c>
      <c r="O8" s="159"/>
      <c r="P8" s="159"/>
      <c r="Q8" s="159"/>
      <c r="R8" s="160"/>
    </row>
    <row r="9" spans="1:18">
      <c r="A9" s="32">
        <v>0.08</v>
      </c>
      <c r="B9" s="71">
        <f t="shared" si="0"/>
        <v>1.279108894963275E-2</v>
      </c>
      <c r="C9" s="81">
        <f t="shared" si="1"/>
        <v>40.631578947368425</v>
      </c>
      <c r="D9" s="72">
        <f t="shared" si="2"/>
        <v>0.43901898402216061</v>
      </c>
      <c r="F9" s="74">
        <f t="shared" si="6"/>
        <v>0.70375912092124882</v>
      </c>
      <c r="G9" s="74">
        <f t="shared" si="3"/>
        <v>1.5794765923756833</v>
      </c>
      <c r="H9" s="33">
        <f t="shared" si="4"/>
        <v>0.43901898402216061</v>
      </c>
      <c r="I9" s="88">
        <f>IF($G8&lt;180,B9,"---")</f>
        <v>1.279108894963275E-2</v>
      </c>
      <c r="J9" s="104">
        <f>IF($G9&lt;180,3.14*Calculations!$D$14*'Data Table'!C9/60,"---")</f>
        <v>0.63791578947368421</v>
      </c>
      <c r="K9" s="32">
        <f t="shared" si="5"/>
        <v>0.08</v>
      </c>
      <c r="L9" s="86"/>
      <c r="M9" s="98">
        <f>MAX(J5:J60)</f>
        <v>5.1033263157894737</v>
      </c>
      <c r="N9" s="150" t="s">
        <v>68</v>
      </c>
      <c r="O9" s="151"/>
      <c r="P9" s="151"/>
      <c r="Q9" s="151"/>
      <c r="R9" s="152"/>
    </row>
    <row r="10" spans="1:18">
      <c r="A10" s="32">
        <v>0.1</v>
      </c>
      <c r="B10" s="71">
        <f t="shared" si="0"/>
        <v>1.6162745534732161E-2</v>
      </c>
      <c r="C10" s="81">
        <f t="shared" si="1"/>
        <v>50.789473684210527</v>
      </c>
      <c r="D10" s="72">
        <f t="shared" si="2"/>
        <v>0.68596716253462597</v>
      </c>
      <c r="F10" s="74">
        <f t="shared" si="6"/>
        <v>0.92472118236594902</v>
      </c>
      <c r="G10" s="74">
        <f t="shared" si="3"/>
        <v>2.5041977747416322</v>
      </c>
      <c r="H10" s="33">
        <f t="shared" si="4"/>
        <v>0.68596716253462597</v>
      </c>
      <c r="I10" s="88">
        <f>IF($G9&lt;180,B10,"---")</f>
        <v>1.6162745534732161E-2</v>
      </c>
      <c r="J10" s="104">
        <f>IF($G10&lt;180,3.14*Calculations!$D$14*'Data Table'!C10/60,"---")</f>
        <v>0.79739473684210516</v>
      </c>
      <c r="K10" s="32">
        <f t="shared" si="5"/>
        <v>0.1</v>
      </c>
      <c r="L10" s="86"/>
    </row>
    <row r="11" spans="1:18">
      <c r="A11" s="32">
        <v>0.12</v>
      </c>
      <c r="B11" s="71">
        <f t="shared" si="0"/>
        <v>1.9610175991082241E-2</v>
      </c>
      <c r="C11" s="30">
        <f t="shared" si="1"/>
        <v>60.94736842105263</v>
      </c>
      <c r="D11" s="72">
        <f t="shared" si="2"/>
        <v>0.98779271404986135</v>
      </c>
      <c r="F11" s="74">
        <f t="shared" si="6"/>
        <v>1.1556149777101927</v>
      </c>
      <c r="G11" s="74">
        <f t="shared" si="3"/>
        <v>3.6598127524518249</v>
      </c>
      <c r="H11" s="33">
        <f t="shared" si="4"/>
        <v>0.98779271404986135</v>
      </c>
      <c r="I11" s="88">
        <f>IF($G10&lt;180,B11,"---")</f>
        <v>1.9610175991082241E-2</v>
      </c>
      <c r="J11" s="104">
        <f>IF($G11&lt;180,3.14*Calculations!$D$14*'Data Table'!C11/60,"---")</f>
        <v>0.95687368421052621</v>
      </c>
      <c r="K11" s="32">
        <f t="shared" si="5"/>
        <v>0.12</v>
      </c>
      <c r="L11" s="86"/>
      <c r="M11" t="s">
        <v>67</v>
      </c>
    </row>
    <row r="12" spans="1:18">
      <c r="A12" s="32">
        <v>0.14000000000000001</v>
      </c>
      <c r="B12" s="71">
        <f t="shared" ref="B12:B41" si="7">-($B$2*LN(1-A12))</f>
        <v>2.3136864624978395E-2</v>
      </c>
      <c r="C12" s="30">
        <f t="shared" ref="C12:C41" si="8">$C$2*A12</f>
        <v>71.10526315789474</v>
      </c>
      <c r="D12" s="72">
        <f t="shared" ref="D12:D41" si="9">0.5*$D$2*(C12*0.105)^2</f>
        <v>1.3444956385678672</v>
      </c>
      <c r="F12" s="74">
        <f t="shared" si="6"/>
        <v>1.3971255445966502</v>
      </c>
      <c r="G12" s="74">
        <f t="shared" ref="G12:G29" si="10">G11+F12</f>
        <v>5.0569382970484753</v>
      </c>
      <c r="H12" s="33">
        <f t="shared" ref="H12:H60" si="11">IF($G11&lt;180,D12,"---")</f>
        <v>1.3444956385678672</v>
      </c>
      <c r="I12" s="88">
        <f t="shared" ref="I12:I60" si="12">IF($G11&lt;180,B12,"---")</f>
        <v>2.3136864624978395E-2</v>
      </c>
      <c r="J12" s="104">
        <f>IF($G12&lt;180,3.14*Calculations!$D$14*'Data Table'!C12/60,"---")</f>
        <v>1.1163526315789474</v>
      </c>
      <c r="K12" s="32">
        <f t="shared" si="5"/>
        <v>0.14000000000000001</v>
      </c>
      <c r="L12" s="86"/>
      <c r="M12" s="92" t="s">
        <v>64</v>
      </c>
      <c r="N12" s="92" t="s">
        <v>65</v>
      </c>
      <c r="O12" s="92" t="s">
        <v>62</v>
      </c>
      <c r="P12" s="92" t="s">
        <v>66</v>
      </c>
      <c r="Q12" s="84"/>
      <c r="R12" s="84"/>
    </row>
    <row r="13" spans="1:18">
      <c r="A13" s="32">
        <v>0.16</v>
      </c>
      <c r="B13" s="71">
        <f t="shared" si="7"/>
        <v>2.6746541737624453E-2</v>
      </c>
      <c r="C13" s="30">
        <f t="shared" si="8"/>
        <v>81.26315789473685</v>
      </c>
      <c r="D13" s="72">
        <f t="shared" si="9"/>
        <v>1.7560759360886424</v>
      </c>
      <c r="F13" s="74">
        <f t="shared" si="6"/>
        <v>1.6500024064911061</v>
      </c>
      <c r="G13" s="74">
        <f t="shared" si="10"/>
        <v>6.7069407035395816</v>
      </c>
      <c r="H13" s="33">
        <f t="shared" si="11"/>
        <v>1.7560759360886424</v>
      </c>
      <c r="I13" s="88">
        <f t="shared" si="12"/>
        <v>2.6746541737624453E-2</v>
      </c>
      <c r="J13" s="104">
        <f>IF($G13&lt;180,3.14*Calculations!$D$14*'Data Table'!C13/60,"---")</f>
        <v>1.2758315789473684</v>
      </c>
      <c r="K13" s="32">
        <f t="shared" si="5"/>
        <v>0.16</v>
      </c>
      <c r="L13" s="86"/>
      <c r="M13" s="36">
        <v>0</v>
      </c>
      <c r="N13" s="36">
        <v>0</v>
      </c>
      <c r="O13" s="36">
        <v>0</v>
      </c>
      <c r="P13" s="36">
        <v>0</v>
      </c>
    </row>
    <row r="14" spans="1:18">
      <c r="A14" s="32">
        <v>0.18</v>
      </c>
      <c r="B14" s="71">
        <f t="shared" si="7"/>
        <v>3.0443207340964302E-2</v>
      </c>
      <c r="C14" s="30">
        <f t="shared" si="8"/>
        <v>91.421052631578945</v>
      </c>
      <c r="D14" s="72">
        <f t="shared" si="9"/>
        <v>2.2225336066121879</v>
      </c>
      <c r="F14" s="74">
        <f t="shared" si="6"/>
        <v>1.9150673438775856</v>
      </c>
      <c r="G14" s="74">
        <f t="shared" si="10"/>
        <v>8.6220080474171681</v>
      </c>
      <c r="H14" s="33">
        <f t="shared" si="11"/>
        <v>2.2225336066121879</v>
      </c>
      <c r="I14" s="88">
        <f t="shared" si="12"/>
        <v>3.0443207340964302E-2</v>
      </c>
      <c r="J14" s="104">
        <f>IF($G14&lt;180,3.14*Calculations!$D$14*'Data Table'!C14/60,"---")</f>
        <v>1.4353105263157893</v>
      </c>
      <c r="K14" s="32">
        <f t="shared" si="5"/>
        <v>0.18</v>
      </c>
      <c r="L14" s="86"/>
      <c r="M14" s="90">
        <f>B6-B5</f>
        <v>3.0991801382806109E-3</v>
      </c>
      <c r="N14" s="91">
        <f>6*((C6+C5)/2)</f>
        <v>30.473684210526319</v>
      </c>
      <c r="O14" s="69">
        <f>M14*N14</f>
        <v>9.4443436845498621E-2</v>
      </c>
      <c r="P14" s="69">
        <f>P13+O14</f>
        <v>9.4443436845498621E-2</v>
      </c>
    </row>
    <row r="15" spans="1:18">
      <c r="A15" s="32">
        <v>0.2</v>
      </c>
      <c r="B15" s="71">
        <f t="shared" si="7"/>
        <v>3.4231157802236109E-2</v>
      </c>
      <c r="C15" s="30">
        <f t="shared" si="8"/>
        <v>101.57894736842105</v>
      </c>
      <c r="D15" s="72">
        <f t="shared" si="9"/>
        <v>2.7438686501385039</v>
      </c>
      <c r="F15" s="74">
        <f t="shared" si="6"/>
        <v>2.1932233170763764</v>
      </c>
      <c r="G15" s="74">
        <f t="shared" si="10"/>
        <v>10.815231364493545</v>
      </c>
      <c r="H15" s="33">
        <f t="shared" si="11"/>
        <v>2.7438686501385039</v>
      </c>
      <c r="I15" s="88">
        <f t="shared" si="12"/>
        <v>3.4231157802236109E-2</v>
      </c>
      <c r="J15" s="104">
        <f>IF($G15&lt;180,3.14*Calculations!$D$14*'Data Table'!C15/60,"---")</f>
        <v>1.5947894736842103</v>
      </c>
      <c r="K15" s="32">
        <f t="shared" si="5"/>
        <v>0.2</v>
      </c>
      <c r="L15" s="86"/>
    </row>
    <row r="16" spans="1:18">
      <c r="A16" s="32">
        <v>0.22</v>
      </c>
      <c r="B16" s="71">
        <f t="shared" si="7"/>
        <v>3.8115015862272963E-2</v>
      </c>
      <c r="C16" s="30">
        <f t="shared" si="8"/>
        <v>111.73684210526316</v>
      </c>
      <c r="D16" s="72">
        <f t="shared" si="9"/>
        <v>3.3200810666675902</v>
      </c>
      <c r="F16" s="74">
        <f t="shared" si="6"/>
        <v>2.4854647448414799</v>
      </c>
      <c r="G16" s="74">
        <f t="shared" si="10"/>
        <v>13.300696109335025</v>
      </c>
      <c r="H16" s="33">
        <f t="shared" si="11"/>
        <v>3.3200810666675902</v>
      </c>
      <c r="I16" s="88">
        <f t="shared" si="12"/>
        <v>3.8115015862272963E-2</v>
      </c>
      <c r="J16" s="104">
        <f>IF($G16&lt;180,3.14*Calculations!$D$14*'Data Table'!C16/60,"---")</f>
        <v>1.7542684210526316</v>
      </c>
      <c r="K16" s="32">
        <f t="shared" si="5"/>
        <v>0.22</v>
      </c>
      <c r="L16" s="86"/>
    </row>
    <row r="17" spans="1:18">
      <c r="A17" s="32">
        <v>0.24</v>
      </c>
      <c r="B17" s="71">
        <f t="shared" si="7"/>
        <v>4.2099764553521539E-2</v>
      </c>
      <c r="C17" s="30">
        <f t="shared" si="8"/>
        <v>121.89473684210526</v>
      </c>
      <c r="D17" s="72">
        <f t="shared" si="9"/>
        <v>3.9511708561994454</v>
      </c>
      <c r="F17" s="74">
        <f t="shared" si="6"/>
        <v>2.7928893853345937</v>
      </c>
      <c r="G17" s="74">
        <f t="shared" si="10"/>
        <v>16.093585494669618</v>
      </c>
      <c r="H17" s="33">
        <f t="shared" si="11"/>
        <v>3.9511708561994454</v>
      </c>
      <c r="I17" s="88">
        <f t="shared" si="12"/>
        <v>4.2099764553521539E-2</v>
      </c>
      <c r="J17" s="104">
        <f>IF($G17&lt;180,3.14*Calculations!$D$14*'Data Table'!C17/60,"---")</f>
        <v>1.9137473684210524</v>
      </c>
      <c r="K17" s="32">
        <f t="shared" si="5"/>
        <v>0.24</v>
      </c>
      <c r="L17" s="86"/>
    </row>
    <row r="18" spans="1:18">
      <c r="A18" s="32">
        <v>0.26</v>
      </c>
      <c r="B18" s="71">
        <f t="shared" si="7"/>
        <v>4.6190785641973466E-2</v>
      </c>
      <c r="C18" s="30">
        <f t="shared" si="8"/>
        <v>132.05263157894737</v>
      </c>
      <c r="D18" s="72">
        <f t="shared" si="9"/>
        <v>4.6371380187340723</v>
      </c>
      <c r="F18" s="74">
        <f t="shared" si="6"/>
        <v>3.1167121187021913</v>
      </c>
      <c r="G18" s="74">
        <f t="shared" si="10"/>
        <v>19.210297613371811</v>
      </c>
      <c r="H18" s="33">
        <f t="shared" si="11"/>
        <v>4.6371380187340723</v>
      </c>
      <c r="I18" s="88">
        <f t="shared" si="12"/>
        <v>4.6190785641973466E-2</v>
      </c>
      <c r="J18" s="104">
        <f>IF($G18&lt;180,3.14*Calculations!$D$14*'Data Table'!C18/60,"---")</f>
        <v>2.0732263157894737</v>
      </c>
      <c r="K18" s="32">
        <f t="shared" si="5"/>
        <v>0.26</v>
      </c>
      <c r="L18" s="86"/>
    </row>
    <row r="19" spans="1:18">
      <c r="A19" s="32">
        <v>0.28000000000000003</v>
      </c>
      <c r="B19" s="71">
        <f t="shared" si="7"/>
        <v>5.039390333696829E-2</v>
      </c>
      <c r="C19" s="30">
        <f t="shared" si="8"/>
        <v>142.21052631578948</v>
      </c>
      <c r="D19" s="72">
        <f t="shared" si="9"/>
        <v>5.377982554271469</v>
      </c>
      <c r="F19" s="74">
        <f t="shared" si="6"/>
        <v>3.4582809960975847</v>
      </c>
      <c r="G19" s="74">
        <f t="shared" si="10"/>
        <v>22.668578609469396</v>
      </c>
      <c r="H19" s="33">
        <f t="shared" si="11"/>
        <v>5.377982554271469</v>
      </c>
      <c r="I19" s="88">
        <f t="shared" si="12"/>
        <v>5.039390333696829E-2</v>
      </c>
      <c r="J19" s="104">
        <f>IF($G19&lt;180,3.14*Calculations!$D$14*'Data Table'!C19/60,"---")</f>
        <v>2.2327052631578947</v>
      </c>
      <c r="K19" s="32">
        <f t="shared" si="5"/>
        <v>0.28000000000000003</v>
      </c>
      <c r="L19" s="86"/>
    </row>
    <row r="20" spans="1:18">
      <c r="A20" s="32">
        <v>0.3</v>
      </c>
      <c r="B20" s="71">
        <f t="shared" si="7"/>
        <v>5.471543415959329E-2</v>
      </c>
      <c r="C20" s="30">
        <f t="shared" si="8"/>
        <v>152.36842105263156</v>
      </c>
      <c r="D20" s="72">
        <f t="shared" si="9"/>
        <v>6.1737044628116324</v>
      </c>
      <c r="F20" s="74">
        <f t="shared" si="6"/>
        <v>3.8190960022471772</v>
      </c>
      <c r="G20" s="74">
        <f t="shared" si="10"/>
        <v>26.487674611716574</v>
      </c>
      <c r="H20" s="33">
        <f t="shared" si="11"/>
        <v>6.1737044628116324</v>
      </c>
      <c r="I20" s="88">
        <f t="shared" si="12"/>
        <v>5.471543415959329E-2</v>
      </c>
      <c r="J20" s="104">
        <f>IF($G20&lt;180,3.14*Calculations!$D$14*'Data Table'!C20/60,"---")</f>
        <v>2.3921842105263154</v>
      </c>
      <c r="K20" s="32">
        <f t="shared" si="5"/>
        <v>0.3</v>
      </c>
      <c r="L20" s="86"/>
    </row>
    <row r="21" spans="1:18">
      <c r="A21" s="32">
        <v>0.32</v>
      </c>
      <c r="B21" s="71">
        <f t="shared" si="7"/>
        <v>5.9162244041225089E-2</v>
      </c>
      <c r="C21" s="30">
        <f t="shared" si="8"/>
        <v>162.5263157894737</v>
      </c>
      <c r="D21" s="72">
        <f t="shared" si="9"/>
        <v>7.0243037443545697</v>
      </c>
      <c r="F21" s="74">
        <f t="shared" si="6"/>
        <v>4.2008310823899553</v>
      </c>
      <c r="G21" s="74">
        <f t="shared" si="10"/>
        <v>30.688505694106532</v>
      </c>
      <c r="H21" s="33">
        <f t="shared" si="11"/>
        <v>7.0243037443545697</v>
      </c>
      <c r="I21" s="88">
        <f t="shared" si="12"/>
        <v>5.9162244041225089E-2</v>
      </c>
      <c r="J21" s="104">
        <f>IF($G21&lt;180,3.14*Calculations!$D$14*'Data Table'!C21/60,"---")</f>
        <v>2.5516631578947369</v>
      </c>
      <c r="K21" s="32">
        <f t="shared" si="5"/>
        <v>0.32</v>
      </c>
      <c r="L21" s="86"/>
    </row>
    <row r="22" spans="1:18">
      <c r="A22" s="32">
        <v>0.34</v>
      </c>
      <c r="B22" s="71">
        <f t="shared" si="7"/>
        <v>6.3741813947783263E-2</v>
      </c>
      <c r="C22" s="30">
        <f t="shared" si="8"/>
        <v>172.68421052631581</v>
      </c>
      <c r="D22" s="72">
        <f t="shared" si="9"/>
        <v>7.92978039890028</v>
      </c>
      <c r="F22" s="74">
        <f t="shared" si="6"/>
        <v>4.6053601160319495</v>
      </c>
      <c r="G22" s="74">
        <f t="shared" si="10"/>
        <v>35.293865810138485</v>
      </c>
      <c r="H22" s="33">
        <f t="shared" si="11"/>
        <v>7.92978039890028</v>
      </c>
      <c r="I22" s="88">
        <f t="shared" si="12"/>
        <v>6.3741813947783263E-2</v>
      </c>
      <c r="J22" s="104">
        <f>IF($G22&lt;180,3.14*Calculations!$D$14*'Data Table'!C22/60,"---")</f>
        <v>2.7111421052631579</v>
      </c>
      <c r="K22" s="32">
        <f t="shared" si="5"/>
        <v>0.34</v>
      </c>
      <c r="L22" s="86"/>
      <c r="M22" s="83"/>
      <c r="N22" s="87"/>
      <c r="O22" s="84"/>
      <c r="P22" s="84"/>
      <c r="Q22" s="84"/>
      <c r="R22" s="84"/>
    </row>
    <row r="23" spans="1:18">
      <c r="A23" s="32">
        <v>0.36</v>
      </c>
      <c r="B23" s="71">
        <f t="shared" si="7"/>
        <v>6.8462315604472232E-2</v>
      </c>
      <c r="C23" s="30">
        <f t="shared" si="8"/>
        <v>182.84210526315789</v>
      </c>
      <c r="D23" s="72">
        <f t="shared" si="9"/>
        <v>8.8901344264487516</v>
      </c>
      <c r="F23" s="74">
        <f t="shared" si="6"/>
        <v>5.0347876880422087</v>
      </c>
      <c r="G23" s="74">
        <f t="shared" si="10"/>
        <v>40.328653498180692</v>
      </c>
      <c r="H23" s="33">
        <f t="shared" si="11"/>
        <v>8.8901344264487516</v>
      </c>
      <c r="I23" s="88">
        <f t="shared" si="12"/>
        <v>6.8462315604472232E-2</v>
      </c>
      <c r="J23" s="104">
        <f>IF($G23&lt;180,3.14*Calculations!$D$14*'Data Table'!C23/60,"---")</f>
        <v>2.8706210526315785</v>
      </c>
      <c r="K23" s="32">
        <f t="shared" si="5"/>
        <v>0.36</v>
      </c>
      <c r="L23" s="86"/>
      <c r="M23" s="83"/>
      <c r="N23" s="87"/>
      <c r="O23" s="84"/>
      <c r="P23" s="84"/>
      <c r="Q23" s="84"/>
      <c r="R23" s="84"/>
    </row>
    <row r="24" spans="1:18">
      <c r="A24" s="32">
        <v>0.38</v>
      </c>
      <c r="B24" s="71">
        <f t="shared" si="7"/>
        <v>7.3332699245950025E-2</v>
      </c>
      <c r="C24" s="30">
        <f t="shared" si="8"/>
        <v>193</v>
      </c>
      <c r="D24" s="72">
        <f t="shared" si="9"/>
        <v>9.9053658270000007</v>
      </c>
      <c r="F24" s="74">
        <f t="shared" si="6"/>
        <v>5.491485723756778</v>
      </c>
      <c r="G24" s="74">
        <f t="shared" si="10"/>
        <v>45.820139221937467</v>
      </c>
      <c r="H24" s="33">
        <f t="shared" si="11"/>
        <v>9.9053658270000007</v>
      </c>
      <c r="I24" s="88">
        <f t="shared" si="12"/>
        <v>7.3332699245950025E-2</v>
      </c>
      <c r="J24" s="104">
        <f>IF($G24&lt;180,3.14*Calculations!$D$14*'Data Table'!C24/60,"---")</f>
        <v>3.0300999999999996</v>
      </c>
      <c r="K24" s="32">
        <f t="shared" si="5"/>
        <v>0.38</v>
      </c>
      <c r="L24" s="86"/>
      <c r="M24" s="83"/>
      <c r="N24" s="87"/>
      <c r="O24" s="84"/>
      <c r="P24" s="84"/>
      <c r="Q24" s="84"/>
      <c r="R24" s="84"/>
    </row>
    <row r="25" spans="1:18">
      <c r="A25" s="32">
        <v>0.4</v>
      </c>
      <c r="B25" s="71">
        <f t="shared" si="7"/>
        <v>7.836279575893712E-2</v>
      </c>
      <c r="C25" s="30">
        <f t="shared" si="8"/>
        <v>203.15789473684211</v>
      </c>
      <c r="D25" s="72">
        <f t="shared" si="9"/>
        <v>10.975474600554016</v>
      </c>
      <c r="F25" s="74">
        <f t="shared" si="6"/>
        <v>5.9781373347242939</v>
      </c>
      <c r="G25" s="74">
        <f t="shared" si="10"/>
        <v>51.798276556661762</v>
      </c>
      <c r="H25" s="33">
        <f t="shared" si="11"/>
        <v>10.975474600554016</v>
      </c>
      <c r="I25" s="88">
        <f t="shared" si="12"/>
        <v>7.836279575893712E-2</v>
      </c>
      <c r="J25" s="104">
        <f>IF($G25&lt;180,3.14*Calculations!$D$14*'Data Table'!C25/60,"---")</f>
        <v>3.1895789473684206</v>
      </c>
      <c r="K25" s="32">
        <f t="shared" si="5"/>
        <v>0.4</v>
      </c>
      <c r="L25" s="86"/>
      <c r="M25" s="83"/>
      <c r="N25" s="87"/>
      <c r="O25" s="84"/>
      <c r="P25" s="84"/>
      <c r="Q25" s="84"/>
      <c r="R25" s="84"/>
    </row>
    <row r="26" spans="1:18">
      <c r="A26" s="32">
        <v>0.42</v>
      </c>
      <c r="B26" s="71">
        <f t="shared" si="7"/>
        <v>8.3563436146329786E-2</v>
      </c>
      <c r="C26" s="30">
        <f t="shared" si="8"/>
        <v>213.31578947368419</v>
      </c>
      <c r="D26" s="72">
        <f t="shared" si="9"/>
        <v>12.1004607471108</v>
      </c>
      <c r="F26" s="74">
        <f t="shared" si="6"/>
        <v>6.4977895871744469</v>
      </c>
      <c r="G26" s="74">
        <f t="shared" si="10"/>
        <v>58.296066143836207</v>
      </c>
      <c r="H26" s="33">
        <f t="shared" si="11"/>
        <v>12.1004607471108</v>
      </c>
      <c r="I26" s="88">
        <f t="shared" si="12"/>
        <v>8.3563436146329786E-2</v>
      </c>
      <c r="J26" s="104">
        <f>IF($G26&lt;180,3.14*Calculations!$D$14*'Data Table'!C26/60,"---")</f>
        <v>3.3490578947368417</v>
      </c>
      <c r="K26" s="32">
        <f t="shared" si="5"/>
        <v>0.42</v>
      </c>
      <c r="L26" s="86"/>
      <c r="Q26" s="84"/>
      <c r="R26" s="84"/>
    </row>
    <row r="27" spans="1:18">
      <c r="A27" s="32">
        <v>0.44</v>
      </c>
      <c r="B27" s="71">
        <f t="shared" si="7"/>
        <v>8.8946591961829385E-2</v>
      </c>
      <c r="C27" s="30">
        <f t="shared" si="8"/>
        <v>223.47368421052633</v>
      </c>
      <c r="D27" s="72">
        <f t="shared" si="9"/>
        <v>13.280324266670361</v>
      </c>
      <c r="F27" s="74">
        <f t="shared" si="6"/>
        <v>7.0539173862365008</v>
      </c>
      <c r="G27" s="74">
        <f t="shared" si="10"/>
        <v>65.349983530072706</v>
      </c>
      <c r="H27" s="33">
        <f t="shared" si="11"/>
        <v>13.280324266670361</v>
      </c>
      <c r="I27" s="88">
        <f t="shared" si="12"/>
        <v>8.8946591961829385E-2</v>
      </c>
      <c r="J27" s="104">
        <f>IF($G27&lt;180,3.14*Calculations!$D$14*'Data Table'!C27/60,"---")</f>
        <v>3.5085368421052632</v>
      </c>
      <c r="K27" s="32">
        <f t="shared" si="5"/>
        <v>0.44</v>
      </c>
      <c r="L27" s="86"/>
      <c r="Q27" s="84"/>
      <c r="R27" s="84"/>
    </row>
    <row r="28" spans="1:18">
      <c r="A28" s="32">
        <v>0.46</v>
      </c>
      <c r="B28" s="71">
        <f t="shared" si="7"/>
        <v>9.4525541293669274E-2</v>
      </c>
      <c r="C28" s="30">
        <f t="shared" si="8"/>
        <v>233.63157894736844</v>
      </c>
      <c r="D28" s="72">
        <f t="shared" si="9"/>
        <v>14.515065159232686</v>
      </c>
      <c r="F28" s="74">
        <f t="shared" si="6"/>
        <v>7.6505013074257011</v>
      </c>
      <c r="G28" s="74">
        <f t="shared" si="10"/>
        <v>73.000484837498405</v>
      </c>
      <c r="H28" s="33">
        <f t="shared" si="11"/>
        <v>14.515065159232686</v>
      </c>
      <c r="I28" s="88">
        <f t="shared" si="12"/>
        <v>9.4525541293669274E-2</v>
      </c>
      <c r="J28" s="104">
        <f>IF($G28&lt;180,3.14*Calculations!$D$14*'Data Table'!C28/60,"---")</f>
        <v>3.6680157894736842</v>
      </c>
      <c r="K28" s="32">
        <f t="shared" si="5"/>
        <v>0.46</v>
      </c>
      <c r="L28" s="86"/>
      <c r="Q28" s="84"/>
      <c r="R28" s="84"/>
    </row>
    <row r="29" spans="1:18">
      <c r="A29" s="32">
        <v>0.48</v>
      </c>
      <c r="B29" s="71">
        <f t="shared" si="7"/>
        <v>0.10031506608647792</v>
      </c>
      <c r="C29" s="30">
        <f t="shared" si="8"/>
        <v>243.78947368421052</v>
      </c>
      <c r="D29" s="72">
        <f t="shared" si="9"/>
        <v>15.804683424797782</v>
      </c>
      <c r="F29" s="74">
        <f t="shared" si="6"/>
        <v>8.2921230624579785</v>
      </c>
      <c r="G29" s="74">
        <f t="shared" si="10"/>
        <v>81.29260789995638</v>
      </c>
      <c r="H29" s="33">
        <f t="shared" si="11"/>
        <v>15.804683424797782</v>
      </c>
      <c r="I29" s="88">
        <f t="shared" si="12"/>
        <v>0.10031506608647792</v>
      </c>
      <c r="J29" s="104">
        <f>IF($G29&lt;180,3.14*Calculations!$D$14*'Data Table'!C29/60,"---")</f>
        <v>3.8274947368421048</v>
      </c>
      <c r="K29" s="32">
        <f t="shared" si="5"/>
        <v>0.48</v>
      </c>
      <c r="L29" s="86"/>
      <c r="M29" s="83"/>
      <c r="N29" s="87"/>
      <c r="O29" s="84"/>
      <c r="P29" s="84"/>
      <c r="Q29" s="84"/>
      <c r="R29" s="84"/>
    </row>
    <row r="30" spans="1:18">
      <c r="A30" s="32">
        <v>0.5</v>
      </c>
      <c r="B30" s="71">
        <f t="shared" si="7"/>
        <v>0.10633168818090595</v>
      </c>
      <c r="C30" s="30">
        <f t="shared" si="8"/>
        <v>253.94736842105263</v>
      </c>
      <c r="D30" s="72">
        <f t="shared" si="9"/>
        <v>17.149179063365647</v>
      </c>
      <c r="F30" s="74">
        <f t="shared" si="6"/>
        <v>8.9840834442640922</v>
      </c>
      <c r="G30" s="75">
        <f>ROUND(G29+F30,0)</f>
        <v>90</v>
      </c>
      <c r="H30" s="33">
        <f t="shared" si="11"/>
        <v>17.149179063365647</v>
      </c>
      <c r="I30" s="88">
        <f t="shared" si="12"/>
        <v>0.10633168818090595</v>
      </c>
      <c r="J30" s="104">
        <f>IF($G30&lt;180,3.14*Calculations!$D$14*'Data Table'!C30/60,"---")</f>
        <v>3.9869736842105259</v>
      </c>
      <c r="K30" s="32">
        <f t="shared" si="5"/>
        <v>0.5</v>
      </c>
      <c r="L30" s="86"/>
      <c r="M30" s="83"/>
      <c r="N30" s="87"/>
      <c r="O30" s="84"/>
      <c r="P30" s="84"/>
      <c r="Q30" s="84"/>
      <c r="R30" s="84"/>
    </row>
    <row r="31" spans="1:18">
      <c r="A31" s="32">
        <v>0.52</v>
      </c>
      <c r="B31" s="71">
        <f t="shared" ref="B31:B40" si="13">-($B$2*LN(1-A31))</f>
        <v>0.11259395356117324</v>
      </c>
      <c r="C31" s="30">
        <f t="shared" ref="C31:C40" si="14">$C$2*A31</f>
        <v>264.10526315789474</v>
      </c>
      <c r="D31" s="72">
        <f t="shared" ref="D31:D40" si="15">0.5*$D$2*(C31*0.105)^2</f>
        <v>18.548552074936289</v>
      </c>
      <c r="F31" s="74">
        <f t="shared" si="6"/>
        <v>9.7325491796796264</v>
      </c>
      <c r="G31" s="74">
        <f t="shared" ref="G31:G60" si="16">G30+F31</f>
        <v>99.732549179679623</v>
      </c>
      <c r="H31" s="33">
        <f t="shared" si="11"/>
        <v>18.548552074936289</v>
      </c>
      <c r="I31" s="88">
        <f t="shared" si="12"/>
        <v>0.11259395356117324</v>
      </c>
      <c r="J31" s="104">
        <f>IF($G31&lt;180,3.14*Calculations!$D$14*'Data Table'!C31/60,"---")</f>
        <v>4.1464526315789474</v>
      </c>
      <c r="K31" s="32">
        <f t="shared" si="5"/>
        <v>0.52</v>
      </c>
      <c r="L31" s="86"/>
      <c r="M31" s="83"/>
      <c r="N31" s="87"/>
      <c r="O31" s="84"/>
      <c r="P31" s="84"/>
      <c r="Q31" s="84"/>
      <c r="R31" s="84"/>
    </row>
    <row r="32" spans="1:18">
      <c r="A32" s="32">
        <v>0.54</v>
      </c>
      <c r="B32" s="71">
        <f t="shared" si="13"/>
        <v>0.11912277713053872</v>
      </c>
      <c r="C32" s="30">
        <f t="shared" si="14"/>
        <v>274.26315789473688</v>
      </c>
      <c r="D32" s="72">
        <f t="shared" si="15"/>
        <v>20.002802459509699</v>
      </c>
      <c r="F32" s="74">
        <f t="shared" si="6"/>
        <v>10.544737309111492</v>
      </c>
      <c r="G32" s="74">
        <f t="shared" si="16"/>
        <v>110.27728648879112</v>
      </c>
      <c r="H32" s="33">
        <f t="shared" si="11"/>
        <v>20.002802459509699</v>
      </c>
      <c r="I32" s="88">
        <f t="shared" si="12"/>
        <v>0.11912277713053872</v>
      </c>
      <c r="J32" s="104">
        <f>IF($G32&lt;180,3.14*Calculations!$D$14*'Data Table'!C32/60,"---")</f>
        <v>4.3059315789473684</v>
      </c>
      <c r="K32" s="32">
        <f t="shared" si="5"/>
        <v>0.54</v>
      </c>
      <c r="L32" s="86"/>
      <c r="M32" s="83"/>
      <c r="N32" s="87"/>
      <c r="O32" s="84"/>
      <c r="P32" s="84"/>
      <c r="Q32" s="84"/>
      <c r="R32" s="84"/>
    </row>
    <row r="33" spans="1:18">
      <c r="A33" s="32">
        <v>0.56000000000000005</v>
      </c>
      <c r="B33" s="71">
        <f t="shared" si="13"/>
        <v>0.12594186417198822</v>
      </c>
      <c r="C33" s="30">
        <f t="shared" si="14"/>
        <v>284.42105263157896</v>
      </c>
      <c r="D33" s="72">
        <f t="shared" si="15"/>
        <v>21.511930217085876</v>
      </c>
      <c r="F33" s="74">
        <f t="shared" si="6"/>
        <v>11.429148780787331</v>
      </c>
      <c r="G33" s="74">
        <f t="shared" si="16"/>
        <v>121.70643526957845</v>
      </c>
      <c r="H33" s="33">
        <f t="shared" si="11"/>
        <v>21.511930217085876</v>
      </c>
      <c r="I33" s="88">
        <f t="shared" si="12"/>
        <v>0.12594186417198822</v>
      </c>
      <c r="J33" s="104">
        <f>IF($G33&lt;180,3.14*Calculations!$D$14*'Data Table'!C33/60,"---")</f>
        <v>4.4654105263157895</v>
      </c>
      <c r="K33" s="32">
        <f t="shared" si="5"/>
        <v>0.56000000000000005</v>
      </c>
      <c r="L33" s="86"/>
      <c r="M33" s="83"/>
      <c r="N33" s="87"/>
      <c r="O33" s="84"/>
      <c r="P33" s="84"/>
      <c r="Q33" s="84"/>
      <c r="R33" s="84"/>
    </row>
    <row r="34" spans="1:18">
      <c r="A34" s="32">
        <v>0.57999999999999996</v>
      </c>
      <c r="B34" s="71">
        <f t="shared" si="13"/>
        <v>0.13307822991853038</v>
      </c>
      <c r="C34" s="30">
        <f t="shared" si="14"/>
        <v>294.57894736842104</v>
      </c>
      <c r="D34" s="72">
        <f t="shared" si="15"/>
        <v>23.075935347664814</v>
      </c>
      <c r="F34" s="74">
        <f t="shared" si="6"/>
        <v>12.395867301743744</v>
      </c>
      <c r="G34" s="74">
        <f t="shared" si="16"/>
        <v>134.10230257132218</v>
      </c>
      <c r="H34" s="33">
        <f t="shared" si="11"/>
        <v>23.075935347664814</v>
      </c>
      <c r="I34" s="88">
        <f t="shared" si="12"/>
        <v>0.13307822991853038</v>
      </c>
      <c r="J34" s="104">
        <f>IF($G34&lt;180,3.14*Calculations!$D$14*'Data Table'!C34/60,"---")</f>
        <v>4.6248894736842097</v>
      </c>
      <c r="K34" s="32">
        <f t="shared" si="5"/>
        <v>0.57999999999999996</v>
      </c>
      <c r="L34" s="86"/>
      <c r="M34" s="83"/>
      <c r="N34" s="87"/>
      <c r="O34" s="84"/>
      <c r="P34" s="84"/>
      <c r="Q34" s="84"/>
      <c r="R34" s="84"/>
    </row>
    <row r="35" spans="1:18">
      <c r="A35" s="32">
        <v>0.6</v>
      </c>
      <c r="B35" s="71">
        <f t="shared" si="13"/>
        <v>0.14056284598314206</v>
      </c>
      <c r="C35" s="30">
        <f t="shared" si="14"/>
        <v>304.73684210526312</v>
      </c>
      <c r="D35" s="72">
        <f t="shared" si="15"/>
        <v>24.69481785124653</v>
      </c>
      <c r="F35" s="74">
        <f t="shared" si="6"/>
        <v>13.456945757010498</v>
      </c>
      <c r="G35" s="74">
        <f t="shared" si="16"/>
        <v>147.55924832833267</v>
      </c>
      <c r="H35" s="33">
        <f t="shared" si="11"/>
        <v>24.69481785124653</v>
      </c>
      <c r="I35" s="88">
        <f t="shared" si="12"/>
        <v>0.14056284598314206</v>
      </c>
      <c r="J35" s="104">
        <f>IF($G35&lt;180,3.14*Calculations!$D$14*'Data Table'!C35/60,"---")</f>
        <v>4.7843684210526307</v>
      </c>
      <c r="K35" s="32">
        <f t="shared" si="5"/>
        <v>0.6</v>
      </c>
      <c r="L35" s="86"/>
      <c r="M35" s="83"/>
      <c r="N35" s="87"/>
      <c r="O35" s="84"/>
      <c r="P35" s="84"/>
      <c r="Q35" s="84"/>
      <c r="R35" s="84"/>
    </row>
    <row r="36" spans="1:18">
      <c r="A36" s="32">
        <v>0.62</v>
      </c>
      <c r="B36" s="71">
        <f t="shared" si="13"/>
        <v>0.14843145273442748</v>
      </c>
      <c r="C36" s="30">
        <f t="shared" si="14"/>
        <v>314.89473684210526</v>
      </c>
      <c r="D36" s="72">
        <f t="shared" si="15"/>
        <v>26.368577727831028</v>
      </c>
      <c r="F36" s="74">
        <f t="shared" si="6"/>
        <v>14.626911676244728</v>
      </c>
      <c r="G36" s="74">
        <f t="shared" si="16"/>
        <v>162.1861600045774</v>
      </c>
      <c r="H36" s="33">
        <f t="shared" si="11"/>
        <v>26.368577727831028</v>
      </c>
      <c r="I36" s="88">
        <f t="shared" si="12"/>
        <v>0.14843145273442748</v>
      </c>
      <c r="J36" s="104">
        <f>IF($G36&lt;180,3.14*Calculations!$D$14*'Data Table'!C36/60,"---")</f>
        <v>4.9438473684210518</v>
      </c>
      <c r="K36" s="32">
        <f t="shared" si="5"/>
        <v>0.62</v>
      </c>
      <c r="L36" s="86"/>
      <c r="M36" s="83"/>
      <c r="N36" s="87"/>
      <c r="O36" s="84"/>
      <c r="P36" s="84"/>
      <c r="Q36" s="84"/>
      <c r="R36" s="84"/>
    </row>
    <row r="37" spans="1:18">
      <c r="A37" s="32">
        <v>0.64</v>
      </c>
      <c r="B37" s="71">
        <f t="shared" si="13"/>
        <v>0.15672559151787424</v>
      </c>
      <c r="C37" s="30">
        <f t="shared" si="14"/>
        <v>325.0526315789474</v>
      </c>
      <c r="D37" s="72">
        <f t="shared" si="15"/>
        <v>28.097214977418279</v>
      </c>
      <c r="F37" s="74">
        <f t="shared" si="6"/>
        <v>15.923436863357233</v>
      </c>
      <c r="G37" s="74">
        <f t="shared" si="16"/>
        <v>178.10959686793464</v>
      </c>
      <c r="H37" s="33">
        <f t="shared" si="11"/>
        <v>28.097214977418279</v>
      </c>
      <c r="I37" s="88">
        <f t="shared" si="12"/>
        <v>0.15672559151787424</v>
      </c>
      <c r="J37" s="104">
        <f>IF($G37&lt;180,3.14*Calculations!$D$14*'Data Table'!C37/60,"---")</f>
        <v>5.1033263157894737</v>
      </c>
      <c r="K37" s="32">
        <f t="shared" si="5"/>
        <v>0.64</v>
      </c>
      <c r="M37" s="83"/>
      <c r="N37" s="87"/>
      <c r="O37" s="84"/>
      <c r="P37" s="84"/>
      <c r="Q37" s="84"/>
      <c r="R37" s="84"/>
    </row>
    <row r="38" spans="1:18">
      <c r="A38" s="32">
        <v>0.66</v>
      </c>
      <c r="B38" s="71">
        <f t="shared" si="13"/>
        <v>0.16549393222213102</v>
      </c>
      <c r="C38" s="30">
        <f t="shared" si="14"/>
        <v>335.21052631578948</v>
      </c>
      <c r="D38" s="72">
        <f t="shared" si="15"/>
        <v>29.880729600008308</v>
      </c>
      <c r="F38" s="74">
        <f t="shared" si="6"/>
        <v>17.368236968668622</v>
      </c>
      <c r="G38" s="74">
        <f t="shared" si="16"/>
        <v>195.47783383660325</v>
      </c>
      <c r="H38" s="33">
        <f t="shared" si="11"/>
        <v>29.880729600008308</v>
      </c>
      <c r="I38" s="88">
        <f t="shared" si="12"/>
        <v>0.16549393222213102</v>
      </c>
      <c r="J38" s="104" t="str">
        <f>IF($G38&lt;180,3.14*Calculations!$D$14*'Data Table'!C38/60,"---")</f>
        <v>---</v>
      </c>
      <c r="K38" s="32">
        <f t="shared" si="5"/>
        <v>0.66</v>
      </c>
      <c r="M38" s="83"/>
      <c r="N38" s="87"/>
      <c r="O38" s="84"/>
      <c r="P38" s="84"/>
      <c r="Q38" s="84"/>
      <c r="R38" s="84"/>
    </row>
    <row r="39" spans="1:18">
      <c r="A39" s="32">
        <v>0.68</v>
      </c>
      <c r="B39" s="71">
        <f t="shared" si="13"/>
        <v>0.17479400378537824</v>
      </c>
      <c r="C39" s="30">
        <f t="shared" si="14"/>
        <v>345.36842105263162</v>
      </c>
      <c r="D39" s="72">
        <f t="shared" si="15"/>
        <v>31.71912159560112</v>
      </c>
      <c r="F39" s="74">
        <f t="shared" si="6"/>
        <v>18.988298744897335</v>
      </c>
      <c r="G39" s="74">
        <f t="shared" si="16"/>
        <v>214.46613258150057</v>
      </c>
      <c r="H39" s="33" t="str">
        <f t="shared" si="11"/>
        <v>---</v>
      </c>
      <c r="I39" s="88" t="str">
        <f t="shared" si="12"/>
        <v>---</v>
      </c>
      <c r="J39" s="104" t="str">
        <f>IF($G39&lt;180,3.14*Calculations!$D$14*'Data Table'!C39/60,"---")</f>
        <v>---</v>
      </c>
      <c r="K39" s="32">
        <f t="shared" si="5"/>
        <v>0.68</v>
      </c>
      <c r="M39" s="83"/>
      <c r="N39" s="87"/>
      <c r="O39" s="84"/>
      <c r="P39" s="84"/>
      <c r="Q39" s="84"/>
      <c r="R39" s="84"/>
    </row>
    <row r="40" spans="1:18">
      <c r="A40" s="32">
        <v>0.7</v>
      </c>
      <c r="B40" s="71">
        <f t="shared" si="13"/>
        <v>0.18469448393984306</v>
      </c>
      <c r="C40" s="30">
        <f t="shared" si="14"/>
        <v>355.52631578947364</v>
      </c>
      <c r="D40" s="72">
        <f t="shared" si="15"/>
        <v>33.61239096419667</v>
      </c>
      <c r="F40" s="74">
        <f t="shared" si="6"/>
        <v>20.817583297422313</v>
      </c>
      <c r="G40" s="74">
        <f t="shared" si="16"/>
        <v>235.28371587892289</v>
      </c>
      <c r="H40" s="33" t="str">
        <f t="shared" si="11"/>
        <v>---</v>
      </c>
      <c r="I40" s="88" t="str">
        <f t="shared" si="12"/>
        <v>---</v>
      </c>
      <c r="J40" s="104" t="str">
        <f>IF($G40&lt;180,3.14*Calculations!$D$14*'Data Table'!C40/60,"---")</f>
        <v>---</v>
      </c>
      <c r="K40" s="32">
        <f t="shared" si="5"/>
        <v>0.7</v>
      </c>
      <c r="M40" s="83"/>
      <c r="N40" s="87"/>
      <c r="O40" s="84"/>
      <c r="P40" s="84"/>
      <c r="Q40" s="84"/>
      <c r="R40" s="84"/>
    </row>
    <row r="41" spans="1:18">
      <c r="A41" s="32">
        <v>0.72</v>
      </c>
      <c r="B41" s="71">
        <f t="shared" si="7"/>
        <v>0.19527828014273535</v>
      </c>
      <c r="C41" s="30">
        <f t="shared" si="8"/>
        <v>365.68421052631578</v>
      </c>
      <c r="D41" s="72">
        <f t="shared" si="9"/>
        <v>35.560537705795007</v>
      </c>
      <c r="F41" s="74">
        <f t="shared" si="6"/>
        <v>22.89943568972101</v>
      </c>
      <c r="G41" s="74">
        <f t="shared" si="16"/>
        <v>258.18315156864389</v>
      </c>
      <c r="H41" s="33" t="str">
        <f t="shared" si="11"/>
        <v>---</v>
      </c>
      <c r="I41" s="88" t="str">
        <f t="shared" si="12"/>
        <v>---</v>
      </c>
      <c r="J41" s="104" t="str">
        <f>IF($G41&lt;180,3.14*Calculations!$D$14*'Data Table'!C41/60,"---")</f>
        <v>---</v>
      </c>
      <c r="K41" s="32">
        <f t="shared" si="5"/>
        <v>0.72</v>
      </c>
      <c r="M41" s="83"/>
      <c r="N41" s="87"/>
      <c r="O41" s="84"/>
      <c r="P41" s="84"/>
      <c r="Q41" s="84"/>
      <c r="R41" s="84"/>
    </row>
    <row r="42" spans="1:18">
      <c r="A42" s="32">
        <v>0.74</v>
      </c>
      <c r="B42" s="71">
        <f t="shared" ref="B42:B55" si="17">-($B$2*LN(1-A42))</f>
        <v>0.20664675426738385</v>
      </c>
      <c r="C42" s="30">
        <f t="shared" ref="C42:C60" si="18">$C$2*A42</f>
        <v>375.84210526315786</v>
      </c>
      <c r="D42" s="72">
        <f t="shared" ref="D42:D60" si="19">0.5*$D$2*(C42*0.105)^2</f>
        <v>37.56356182039611</v>
      </c>
      <c r="F42" s="74">
        <f t="shared" si="6"/>
        <v>25.290068201395698</v>
      </c>
      <c r="G42" s="74">
        <f t="shared" si="16"/>
        <v>283.47321977003958</v>
      </c>
      <c r="H42" s="33" t="str">
        <f t="shared" si="11"/>
        <v>---</v>
      </c>
      <c r="I42" s="88" t="str">
        <f t="shared" si="12"/>
        <v>---</v>
      </c>
      <c r="J42" s="104" t="str">
        <f>IF($G42&lt;180,3.14*Calculations!$D$14*'Data Table'!C42/60,"---")</f>
        <v>---</v>
      </c>
      <c r="K42" s="32">
        <f t="shared" si="5"/>
        <v>0.74</v>
      </c>
      <c r="M42" s="83"/>
      <c r="N42" s="87"/>
      <c r="O42" s="84"/>
      <c r="P42" s="84"/>
      <c r="Q42" s="84"/>
      <c r="R42" s="84"/>
    </row>
    <row r="43" spans="1:18">
      <c r="A43" s="32">
        <v>0.76</v>
      </c>
      <c r="B43" s="71">
        <f t="shared" si="17"/>
        <v>0.21892564174207921</v>
      </c>
      <c r="C43" s="30">
        <f t="shared" si="18"/>
        <v>386</v>
      </c>
      <c r="D43" s="72">
        <f t="shared" si="19"/>
        <v>39.621463308000003</v>
      </c>
      <c r="F43" s="74">
        <f t="shared" si="6"/>
        <v>28.063720452033991</v>
      </c>
      <c r="G43" s="74">
        <f t="shared" si="16"/>
        <v>311.53694022207355</v>
      </c>
      <c r="H43" s="33" t="str">
        <f t="shared" si="11"/>
        <v>---</v>
      </c>
      <c r="I43" s="88" t="str">
        <f t="shared" si="12"/>
        <v>---</v>
      </c>
      <c r="J43" s="104" t="str">
        <f>IF($G43&lt;180,3.14*Calculations!$D$14*'Data Table'!C43/60,"---")</f>
        <v>---</v>
      </c>
      <c r="K43" s="32">
        <f t="shared" si="5"/>
        <v>0.76</v>
      </c>
      <c r="M43" s="83"/>
      <c r="N43" s="87"/>
      <c r="O43" s="84"/>
      <c r="P43" s="84"/>
      <c r="Q43" s="84"/>
      <c r="R43" s="84"/>
    </row>
    <row r="44" spans="1:18">
      <c r="A44" s="32">
        <v>0.78</v>
      </c>
      <c r="B44" s="71">
        <f t="shared" si="17"/>
        <v>0.23227355235289418</v>
      </c>
      <c r="C44" s="30">
        <f t="shared" si="18"/>
        <v>396.15789473684214</v>
      </c>
      <c r="D44" s="72">
        <f t="shared" si="19"/>
        <v>41.734242168606649</v>
      </c>
      <c r="F44" s="74">
        <f t="shared" si="6"/>
        <v>31.320520987471784</v>
      </c>
      <c r="G44" s="74">
        <f t="shared" si="16"/>
        <v>342.85746120954536</v>
      </c>
      <c r="H44" s="33" t="str">
        <f t="shared" si="11"/>
        <v>---</v>
      </c>
      <c r="I44" s="88" t="str">
        <f t="shared" si="12"/>
        <v>---</v>
      </c>
      <c r="J44" s="104" t="str">
        <f>IF($G44&lt;180,3.14*Calculations!$D$14*'Data Table'!C44/60,"---")</f>
        <v>---</v>
      </c>
      <c r="K44" s="32">
        <f t="shared" si="5"/>
        <v>0.78</v>
      </c>
      <c r="M44" s="83"/>
      <c r="N44" s="87"/>
      <c r="O44" s="84"/>
      <c r="P44" s="84"/>
      <c r="Q44" s="84"/>
      <c r="R44" s="84"/>
    </row>
    <row r="45" spans="1:18">
      <c r="A45" s="32">
        <v>0.8</v>
      </c>
      <c r="B45" s="71">
        <f t="shared" si="17"/>
        <v>0.24689453416404805</v>
      </c>
      <c r="C45" s="30">
        <f t="shared" si="18"/>
        <v>406.31578947368422</v>
      </c>
      <c r="D45" s="72">
        <f t="shared" si="19"/>
        <v>43.901898402216062</v>
      </c>
      <c r="F45" s="74">
        <f t="shared" si="6"/>
        <v>35.198859422315223</v>
      </c>
      <c r="G45" s="74">
        <f t="shared" si="16"/>
        <v>378.05632063186056</v>
      </c>
      <c r="H45" s="33" t="str">
        <f t="shared" si="11"/>
        <v>---</v>
      </c>
      <c r="I45" s="88" t="str">
        <f t="shared" si="12"/>
        <v>---</v>
      </c>
      <c r="J45" s="104" t="str">
        <f>IF($G45&lt;180,3.14*Calculations!$D$14*'Data Table'!C45/60,"---")</f>
        <v>---</v>
      </c>
      <c r="K45" s="32">
        <f t="shared" si="5"/>
        <v>0.8</v>
      </c>
      <c r="M45" s="83"/>
      <c r="N45" s="87"/>
      <c r="O45" s="84"/>
      <c r="P45" s="84"/>
      <c r="Q45" s="84"/>
      <c r="R45" s="84"/>
    </row>
    <row r="46" spans="1:18">
      <c r="A46" s="32">
        <v>0.82</v>
      </c>
      <c r="B46" s="71">
        <f t="shared" si="17"/>
        <v>0.26305727969878018</v>
      </c>
      <c r="C46" s="30">
        <f t="shared" si="18"/>
        <v>416.4736842105263</v>
      </c>
      <c r="D46" s="72">
        <f t="shared" si="19"/>
        <v>46.124432008828244</v>
      </c>
      <c r="F46" s="74">
        <f t="shared" si="6"/>
        <v>39.895610675442207</v>
      </c>
      <c r="G46" s="74">
        <f t="shared" si="16"/>
        <v>417.95193130730274</v>
      </c>
      <c r="H46" s="33" t="str">
        <f t="shared" si="11"/>
        <v>---</v>
      </c>
      <c r="I46" s="88" t="str">
        <f t="shared" si="12"/>
        <v>---</v>
      </c>
      <c r="J46" s="104" t="str">
        <f>IF($G46&lt;180,3.14*Calculations!$D$14*'Data Table'!C46/60,"---")</f>
        <v>---</v>
      </c>
      <c r="K46" s="32">
        <f t="shared" si="5"/>
        <v>0.82</v>
      </c>
      <c r="M46" s="83"/>
      <c r="N46" s="87"/>
      <c r="O46" s="84"/>
      <c r="P46" s="84"/>
      <c r="Q46" s="84"/>
      <c r="R46" s="84"/>
    </row>
    <row r="47" spans="1:18">
      <c r="A47" s="32">
        <v>0.84</v>
      </c>
      <c r="B47" s="71">
        <f t="shared" si="17"/>
        <v>0.28112569196628412</v>
      </c>
      <c r="C47" s="30">
        <f t="shared" si="18"/>
        <v>426.63157894736838</v>
      </c>
      <c r="D47" s="72">
        <f t="shared" si="19"/>
        <v>48.4018429884432</v>
      </c>
      <c r="F47" s="74">
        <f t="shared" si="6"/>
        <v>45.700720438917728</v>
      </c>
      <c r="G47" s="74">
        <f t="shared" si="16"/>
        <v>463.6526517462205</v>
      </c>
      <c r="H47" s="33" t="str">
        <f t="shared" si="11"/>
        <v>---</v>
      </c>
      <c r="I47" s="88" t="str">
        <f t="shared" si="12"/>
        <v>---</v>
      </c>
      <c r="J47" s="104" t="str">
        <f>IF($G47&lt;180,3.14*Calculations!$D$14*'Data Table'!C47/60,"---")</f>
        <v>---</v>
      </c>
      <c r="K47" s="32">
        <f t="shared" si="5"/>
        <v>0.84</v>
      </c>
      <c r="M47" s="83"/>
      <c r="N47" s="87"/>
      <c r="O47" s="84"/>
      <c r="P47" s="84"/>
      <c r="Q47" s="84"/>
      <c r="R47" s="84"/>
    </row>
    <row r="48" spans="1:18">
      <c r="A48" s="32">
        <v>0.86</v>
      </c>
      <c r="B48" s="71">
        <f t="shared" si="17"/>
        <v>0.30160996832364129</v>
      </c>
      <c r="C48" s="30">
        <f t="shared" si="18"/>
        <v>436.78947368421052</v>
      </c>
      <c r="D48" s="72">
        <f t="shared" si="19"/>
        <v>50.73413134106093</v>
      </c>
      <c r="F48" s="74">
        <f t="shared" si="6"/>
        <v>53.059666364596474</v>
      </c>
      <c r="G48" s="74">
        <f t="shared" si="16"/>
        <v>516.71231811081702</v>
      </c>
      <c r="H48" s="33" t="str">
        <f t="shared" si="11"/>
        <v>---</v>
      </c>
      <c r="I48" s="88" t="str">
        <f t="shared" si="12"/>
        <v>---</v>
      </c>
      <c r="J48" s="104" t="str">
        <f>IF($G48&lt;180,3.14*Calculations!$D$14*'Data Table'!C48/60,"---")</f>
        <v>---</v>
      </c>
      <c r="K48" s="32">
        <f t="shared" si="5"/>
        <v>0.86</v>
      </c>
      <c r="M48" s="83"/>
      <c r="N48" s="87"/>
      <c r="O48" s="84"/>
      <c r="P48" s="84"/>
      <c r="Q48" s="84"/>
      <c r="R48" s="84"/>
    </row>
    <row r="49" spans="1:18">
      <c r="A49" s="32">
        <v>0.88</v>
      </c>
      <c r="B49" s="71">
        <f t="shared" si="17"/>
        <v>0.32525732992298512</v>
      </c>
      <c r="C49" s="30">
        <f t="shared" si="18"/>
        <v>446.94736842105266</v>
      </c>
      <c r="D49" s="72">
        <f t="shared" si="19"/>
        <v>53.121297066681443</v>
      </c>
      <c r="F49" s="74">
        <f t="shared" si="6"/>
        <v>62.694133991776141</v>
      </c>
      <c r="G49" s="74">
        <f t="shared" si="16"/>
        <v>579.40645210259322</v>
      </c>
      <c r="H49" s="33" t="str">
        <f t="shared" si="11"/>
        <v>---</v>
      </c>
      <c r="I49" s="88" t="str">
        <f t="shared" si="12"/>
        <v>---</v>
      </c>
      <c r="J49" s="104" t="str">
        <f>IF($G49&lt;180,3.14*Calculations!$D$14*'Data Table'!C49/60,"---")</f>
        <v>---</v>
      </c>
      <c r="K49" s="32">
        <f t="shared" si="5"/>
        <v>0.88</v>
      </c>
      <c r="M49" s="83"/>
      <c r="N49" s="87"/>
      <c r="O49" s="84"/>
      <c r="P49" s="84"/>
      <c r="Q49" s="84"/>
      <c r="R49" s="84"/>
    </row>
    <row r="50" spans="1:18">
      <c r="A50" s="32">
        <v>0.9</v>
      </c>
      <c r="B50" s="71">
        <f t="shared" si="17"/>
        <v>0.35322622234495404</v>
      </c>
      <c r="C50" s="30">
        <f t="shared" si="18"/>
        <v>457.10526315789474</v>
      </c>
      <c r="D50" s="72">
        <f t="shared" si="19"/>
        <v>55.563340165304709</v>
      </c>
      <c r="F50" s="74">
        <f t="shared" si="6"/>
        <v>75.856052389288465</v>
      </c>
      <c r="G50" s="74">
        <f t="shared" si="16"/>
        <v>655.26250449188171</v>
      </c>
      <c r="H50" s="33" t="str">
        <f t="shared" si="11"/>
        <v>---</v>
      </c>
      <c r="I50" s="88" t="str">
        <f t="shared" si="12"/>
        <v>---</v>
      </c>
      <c r="J50" s="104" t="str">
        <f>IF($G50&lt;180,3.14*Calculations!$D$14*'Data Table'!C50/60,"---")</f>
        <v>---</v>
      </c>
      <c r="K50" s="32">
        <f t="shared" si="5"/>
        <v>0.9</v>
      </c>
      <c r="M50" s="83"/>
      <c r="N50" s="87"/>
      <c r="O50" s="84"/>
      <c r="P50" s="84"/>
      <c r="Q50" s="84"/>
      <c r="R50" s="84"/>
    </row>
    <row r="51" spans="1:18">
      <c r="A51" s="32">
        <v>0.92</v>
      </c>
      <c r="B51" s="71">
        <f t="shared" si="17"/>
        <v>0.38745738014719022</v>
      </c>
      <c r="C51" s="30">
        <f t="shared" si="18"/>
        <v>467.26315789473688</v>
      </c>
      <c r="D51" s="72">
        <f t="shared" si="19"/>
        <v>58.060260636930742</v>
      </c>
      <c r="F51" s="74">
        <f t="shared" si="6"/>
        <v>94.926603865369586</v>
      </c>
      <c r="G51" s="74">
        <f t="shared" si="16"/>
        <v>750.18910835725126</v>
      </c>
      <c r="H51" s="33" t="str">
        <f t="shared" si="11"/>
        <v>---</v>
      </c>
      <c r="I51" s="88" t="str">
        <f t="shared" si="12"/>
        <v>---</v>
      </c>
      <c r="J51" s="104" t="str">
        <f>IF($G51&lt;180,3.14*Calculations!$D$14*'Data Table'!C51/60,"---")</f>
        <v>---</v>
      </c>
      <c r="K51" s="32">
        <f t="shared" si="5"/>
        <v>0.92</v>
      </c>
      <c r="M51" s="83"/>
      <c r="N51" s="87"/>
      <c r="O51" s="84"/>
      <c r="P51" s="84"/>
      <c r="Q51" s="84"/>
      <c r="R51" s="84"/>
    </row>
    <row r="52" spans="1:18">
      <c r="A52" s="32">
        <v>0.94</v>
      </c>
      <c r="B52" s="71">
        <f t="shared" si="17"/>
        <v>0.431589018103891</v>
      </c>
      <c r="C52" s="30">
        <f t="shared" si="18"/>
        <v>477.4210526315789</v>
      </c>
      <c r="D52" s="72">
        <f t="shared" si="19"/>
        <v>60.612058481559536</v>
      </c>
      <c r="F52" s="74">
        <f t="shared" si="6"/>
        <v>125.0713846870772</v>
      </c>
      <c r="G52" s="74">
        <f t="shared" si="16"/>
        <v>875.26049304432843</v>
      </c>
      <c r="H52" s="33" t="str">
        <f t="shared" si="11"/>
        <v>---</v>
      </c>
      <c r="I52" s="88" t="str">
        <f t="shared" si="12"/>
        <v>---</v>
      </c>
      <c r="J52" s="104" t="str">
        <f>IF($G52&lt;180,3.14*Calculations!$D$14*'Data Table'!C52/60,"---")</f>
        <v>---</v>
      </c>
      <c r="K52" s="32">
        <f t="shared" si="5"/>
        <v>0.94</v>
      </c>
      <c r="M52" s="83"/>
      <c r="N52" s="87"/>
      <c r="O52" s="84"/>
      <c r="P52" s="84"/>
      <c r="Q52" s="84"/>
      <c r="R52" s="84"/>
    </row>
    <row r="53" spans="1:18">
      <c r="A53" s="32">
        <v>0.96</v>
      </c>
      <c r="B53" s="71">
        <f t="shared" si="17"/>
        <v>0.49378906832809588</v>
      </c>
      <c r="C53" s="30">
        <f t="shared" si="18"/>
        <v>487.57894736842104</v>
      </c>
      <c r="D53" s="72">
        <f t="shared" si="19"/>
        <v>63.218733699191127</v>
      </c>
      <c r="F53" s="74">
        <f t="shared" si="6"/>
        <v>180.06914539907314</v>
      </c>
      <c r="G53" s="74">
        <f t="shared" si="16"/>
        <v>1055.3296384434016</v>
      </c>
      <c r="H53" s="33" t="str">
        <f t="shared" si="11"/>
        <v>---</v>
      </c>
      <c r="I53" s="88" t="str">
        <f t="shared" si="12"/>
        <v>---</v>
      </c>
      <c r="J53" s="104" t="str">
        <f>IF($G53&lt;180,3.14*Calculations!$D$14*'Data Table'!C53/60,"---")</f>
        <v>---</v>
      </c>
      <c r="K53" s="32">
        <f t="shared" si="5"/>
        <v>0.96</v>
      </c>
      <c r="Q53" s="84"/>
      <c r="R53" s="84"/>
    </row>
    <row r="54" spans="1:18">
      <c r="A54" s="32">
        <v>0.98</v>
      </c>
      <c r="B54" s="71">
        <f t="shared" si="17"/>
        <v>0.60012075650900187</v>
      </c>
      <c r="C54" s="30">
        <f t="shared" si="18"/>
        <v>497.73684210526312</v>
      </c>
      <c r="D54" s="72">
        <f t="shared" si="19"/>
        <v>65.880286289825463</v>
      </c>
      <c r="F54" s="74">
        <f t="shared" si="6"/>
        <v>314.31087385811702</v>
      </c>
      <c r="G54" s="74">
        <f t="shared" si="16"/>
        <v>1369.6405123015186</v>
      </c>
      <c r="H54" s="33" t="str">
        <f t="shared" si="11"/>
        <v>---</v>
      </c>
      <c r="I54" s="88" t="str">
        <f t="shared" si="12"/>
        <v>---</v>
      </c>
      <c r="J54" s="104" t="str">
        <f>IF($G54&lt;180,3.14*Calculations!$D$14*'Data Table'!C54/60,"---")</f>
        <v>---</v>
      </c>
      <c r="K54" s="32">
        <f t="shared" si="5"/>
        <v>0.98</v>
      </c>
      <c r="Q54" s="84"/>
      <c r="R54" s="84"/>
    </row>
    <row r="55" spans="1:18">
      <c r="A55" s="32">
        <v>0.99</v>
      </c>
      <c r="B55" s="71">
        <f t="shared" si="17"/>
        <v>0.70645244468990787</v>
      </c>
      <c r="C55" s="30">
        <f t="shared" si="18"/>
        <v>502.81578947368422</v>
      </c>
      <c r="D55" s="72">
        <f t="shared" si="19"/>
        <v>67.23164160001869</v>
      </c>
      <c r="F55" s="74">
        <f t="shared" si="6"/>
        <v>319.1713512889126</v>
      </c>
      <c r="G55" s="74">
        <f t="shared" si="16"/>
        <v>1688.8118635904311</v>
      </c>
      <c r="H55" s="33" t="str">
        <f t="shared" si="11"/>
        <v>---</v>
      </c>
      <c r="I55" s="88" t="str">
        <f t="shared" si="12"/>
        <v>---</v>
      </c>
      <c r="J55" s="104" t="str">
        <f>IF($G55&lt;180,3.14*Calculations!$D$14*'Data Table'!C55/60,"---")</f>
        <v>---</v>
      </c>
      <c r="K55" s="32">
        <f t="shared" si="5"/>
        <v>0.99</v>
      </c>
      <c r="Q55" s="84"/>
      <c r="R55" s="84"/>
    </row>
    <row r="56" spans="1:18">
      <c r="A56" s="32">
        <v>0.99</v>
      </c>
      <c r="B56" s="71">
        <f>B55+(B55-B54)</f>
        <v>0.81278413287081386</v>
      </c>
      <c r="C56" s="30">
        <f t="shared" si="18"/>
        <v>502.81578947368422</v>
      </c>
      <c r="D56" s="72">
        <f t="shared" si="19"/>
        <v>67.23164160001869</v>
      </c>
      <c r="F56" s="82">
        <f>F55</f>
        <v>319.1713512889126</v>
      </c>
      <c r="G56" s="74">
        <f t="shared" si="16"/>
        <v>2007.9832148793437</v>
      </c>
      <c r="H56" s="33" t="str">
        <f t="shared" si="11"/>
        <v>---</v>
      </c>
      <c r="I56" s="88" t="str">
        <f t="shared" si="12"/>
        <v>---</v>
      </c>
      <c r="J56" s="104" t="str">
        <f>IF($G56&lt;180,3.14*Calculations!$D$14*'Data Table'!C56/60,"---")</f>
        <v>---</v>
      </c>
      <c r="K56" s="32">
        <f t="shared" si="5"/>
        <v>0.99</v>
      </c>
    </row>
    <row r="57" spans="1:18">
      <c r="A57" s="32">
        <v>0.99</v>
      </c>
      <c r="B57" s="71">
        <f>B56+(B56-B55)</f>
        <v>0.91911582105171985</v>
      </c>
      <c r="C57" s="30">
        <f t="shared" si="18"/>
        <v>502.81578947368422</v>
      </c>
      <c r="D57" s="72">
        <f t="shared" si="19"/>
        <v>67.23164160001869</v>
      </c>
      <c r="F57" s="82">
        <f>F56</f>
        <v>319.1713512889126</v>
      </c>
      <c r="G57" s="74">
        <f t="shared" si="16"/>
        <v>2327.1545661682562</v>
      </c>
      <c r="H57" s="33" t="str">
        <f t="shared" si="11"/>
        <v>---</v>
      </c>
      <c r="I57" s="88" t="str">
        <f t="shared" si="12"/>
        <v>---</v>
      </c>
      <c r="J57" s="104" t="str">
        <f>IF($G57&lt;180,3.14*Calculations!$D$14*'Data Table'!C57/60,"---")</f>
        <v>---</v>
      </c>
      <c r="K57" s="32">
        <f t="shared" si="5"/>
        <v>0.99</v>
      </c>
    </row>
    <row r="58" spans="1:18">
      <c r="A58" s="32">
        <v>0.99</v>
      </c>
      <c r="B58" s="71">
        <f>B57+(B57-B56)</f>
        <v>1.0254475092326258</v>
      </c>
      <c r="C58" s="30">
        <f t="shared" si="18"/>
        <v>502.81578947368422</v>
      </c>
      <c r="D58" s="72">
        <f t="shared" si="19"/>
        <v>67.23164160001869</v>
      </c>
      <c r="F58" s="82">
        <f>F57</f>
        <v>319.1713512889126</v>
      </c>
      <c r="G58" s="74">
        <f t="shared" si="16"/>
        <v>2646.325917457169</v>
      </c>
      <c r="H58" s="33" t="str">
        <f t="shared" si="11"/>
        <v>---</v>
      </c>
      <c r="I58" s="88" t="str">
        <f t="shared" si="12"/>
        <v>---</v>
      </c>
      <c r="J58" s="104" t="str">
        <f>IF($G58&lt;180,3.14*Calculations!$D$14*'Data Table'!C58/60,"---")</f>
        <v>---</v>
      </c>
      <c r="K58" s="32">
        <f t="shared" si="5"/>
        <v>0.99</v>
      </c>
    </row>
    <row r="59" spans="1:18" ht="12.75" customHeight="1">
      <c r="A59" s="32">
        <v>0.99</v>
      </c>
      <c r="B59" s="71">
        <f>B58+(B58-B57)</f>
        <v>1.1317791974135318</v>
      </c>
      <c r="C59" s="30">
        <f t="shared" si="18"/>
        <v>502.81578947368422</v>
      </c>
      <c r="D59" s="72">
        <f t="shared" si="19"/>
        <v>67.23164160001869</v>
      </c>
      <c r="F59" s="82">
        <f>F58</f>
        <v>319.1713512889126</v>
      </c>
      <c r="G59" s="74">
        <f t="shared" si="16"/>
        <v>2965.4972687460818</v>
      </c>
      <c r="H59" s="33" t="str">
        <f t="shared" si="11"/>
        <v>---</v>
      </c>
      <c r="I59" s="88" t="str">
        <f t="shared" si="12"/>
        <v>---</v>
      </c>
      <c r="J59" s="104" t="str">
        <f>IF($G59&lt;180,3.14*Calculations!$D$14*'Data Table'!C59/60,"---")</f>
        <v>---</v>
      </c>
      <c r="K59" s="32">
        <f t="shared" si="5"/>
        <v>0.99</v>
      </c>
    </row>
    <row r="60" spans="1:18">
      <c r="A60" s="32">
        <v>0.99</v>
      </c>
      <c r="B60" s="71">
        <f>B59+(B59-B58)</f>
        <v>1.2381108855944378</v>
      </c>
      <c r="C60" s="30">
        <f t="shared" si="18"/>
        <v>502.81578947368422</v>
      </c>
      <c r="D60" s="72">
        <f t="shared" si="19"/>
        <v>67.23164160001869</v>
      </c>
      <c r="F60" s="82">
        <f>F56</f>
        <v>319.1713512889126</v>
      </c>
      <c r="G60" s="74">
        <f t="shared" si="16"/>
        <v>3284.6686200349945</v>
      </c>
      <c r="H60" s="33" t="str">
        <f t="shared" si="11"/>
        <v>---</v>
      </c>
      <c r="I60" s="88" t="str">
        <f t="shared" si="12"/>
        <v>---</v>
      </c>
      <c r="J60" s="104" t="str">
        <f>IF($G60&lt;180,3.14*Calculations!$D$14*'Data Table'!C60/60,"---")</f>
        <v>---</v>
      </c>
      <c r="K60" s="32">
        <f t="shared" si="5"/>
        <v>0.99</v>
      </c>
    </row>
    <row r="61" spans="1:18">
      <c r="F61" s="155"/>
      <c r="G61" s="156"/>
      <c r="H61" s="156"/>
      <c r="I61" s="156"/>
      <c r="J61" s="156"/>
      <c r="K61" s="157"/>
    </row>
    <row r="62" spans="1:18">
      <c r="B62" s="76"/>
      <c r="F62" s="153" t="s">
        <v>71</v>
      </c>
      <c r="G62" s="154"/>
      <c r="H62" s="102">
        <f>VLOOKUP(180,$G$3:$I$60,2)</f>
        <v>28.097214977418279</v>
      </c>
      <c r="I62" s="103">
        <f>VLOOKUP(180,$G$3:$I$60,3)</f>
        <v>0.15672559151787424</v>
      </c>
      <c r="J62" s="104">
        <f>VLOOKUP(180,$G$3:$K$60,4)</f>
        <v>5.1033263157894737</v>
      </c>
      <c r="K62" s="32">
        <f>VLOOKUP(180,$G$3:$K$60,5)</f>
        <v>0.64</v>
      </c>
    </row>
    <row r="63" spans="1:18">
      <c r="B63" s="76"/>
    </row>
  </sheetData>
  <sheetProtection sheet="1" objects="1" scenarios="1"/>
  <mergeCells count="17">
    <mergeCell ref="M2:R2"/>
    <mergeCell ref="N4:R4"/>
    <mergeCell ref="N5:R5"/>
    <mergeCell ref="N6:R6"/>
    <mergeCell ref="F2:K2"/>
    <mergeCell ref="N9:R9"/>
    <mergeCell ref="F62:G62"/>
    <mergeCell ref="F61:K61"/>
    <mergeCell ref="N8:R8"/>
    <mergeCell ref="H3:H4"/>
    <mergeCell ref="I3:I4"/>
    <mergeCell ref="N3:R3"/>
    <mergeCell ref="K3:K4"/>
    <mergeCell ref="N7:R7"/>
    <mergeCell ref="F3:F4"/>
    <mergeCell ref="G3:G4"/>
    <mergeCell ref="J3:J4"/>
  </mergeCells>
  <phoneticPr fontId="0" type="noConversion"/>
  <conditionalFormatting sqref="G6:G60">
    <cfRule type="cellIs" dxfId="0" priority="19" stopIfTrue="1" operator="greaterThan">
      <formula>180</formula>
    </cfRule>
  </conditionalFormatting>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Calculations</vt:lpstr>
      <vt:lpstr>Data Table</vt:lpstr>
      <vt:lpstr>Calculations!Print_Area</vt:lpstr>
    </vt:vector>
  </TitlesOfParts>
  <Company>ODOT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odot26b</dc:creator>
  <cp:lastModifiedBy>Windows User</cp:lastModifiedBy>
  <cp:lastPrinted>2007-02-09T00:44:08Z</cp:lastPrinted>
  <dcterms:created xsi:type="dcterms:W3CDTF">2006-05-16T21:03:43Z</dcterms:created>
  <dcterms:modified xsi:type="dcterms:W3CDTF">2024-03-22T19:40:36Z</dcterms:modified>
</cp:coreProperties>
</file>